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7400" windowHeight="12405" tabRatio="886" firstSheet="24" activeTab="24"/>
  </bookViews>
  <sheets>
    <sheet name="Пр 1" sheetId="1" r:id="rId1"/>
    <sheet name="Пр2. Фин.МП" sheetId="2" r:id="rId2"/>
    <sheet name="Пр 3 Показ 1" sheetId="3" r:id="rId3"/>
    <sheet name="Пр 4 Фин ПП1" sheetId="4" r:id="rId4"/>
    <sheet name="Пр 5 ОМ 1" sheetId="5" r:id="rId5"/>
    <sheet name="Пр6 МЗ1" sheetId="6" r:id="rId6"/>
    <sheet name="Пр 7 Показ 2" sheetId="7" r:id="rId7"/>
    <sheet name="ПР 8 Фин ПП2" sheetId="8" r:id="rId8"/>
    <sheet name="ПР9 ОМ 2" sheetId="9" r:id="rId9"/>
    <sheet name="ПР10 МЗ2" sheetId="10" r:id="rId10"/>
    <sheet name="Пр 11 Показ 3" sheetId="11" r:id="rId11"/>
    <sheet name="Пр 12 ФинПП3" sheetId="12" r:id="rId12"/>
    <sheet name="ПР13 ОМ 3" sheetId="13" r:id="rId13"/>
    <sheet name="Пр14 Показ 4" sheetId="14" r:id="rId14"/>
    <sheet name="Пр 15 ФинПП4" sheetId="15" r:id="rId15"/>
    <sheet name="ПР16 ОМ4" sheetId="16" r:id="rId16"/>
    <sheet name="Пр17 МЗ4" sheetId="17" r:id="rId17"/>
    <sheet name="Пр18 Показ 5" sheetId="18" r:id="rId18"/>
    <sheet name="Пр 19 Фин ПП5" sheetId="19" r:id="rId19"/>
    <sheet name="ПР20 ОМ5" sheetId="20" r:id="rId20"/>
    <sheet name="Пр21 МЗ5" sheetId="21" r:id="rId21"/>
    <sheet name="Пр22 Показ 6" sheetId="22" r:id="rId22"/>
    <sheet name="Пр 23 Фин ПП6" sheetId="23" r:id="rId23"/>
    <sheet name="ПР24 ОМ6" sheetId="24" r:id="rId24"/>
    <sheet name="Пр25 МЗ 6" sheetId="25" r:id="rId25"/>
    <sheet name="Пр26 Показ 7" sheetId="26" r:id="rId26"/>
    <sheet name="Пр 27 Фин ПП7" sheetId="27" r:id="rId27"/>
    <sheet name="Пр28 ОМ7" sheetId="28" r:id="rId28"/>
    <sheet name="Пр29 МЗ 7" sheetId="29" r:id="rId29"/>
    <sheet name="Пр30 Показ 8" sheetId="30" r:id="rId30"/>
    <sheet name="Пр 31 Фин ПП8" sheetId="31" r:id="rId31"/>
    <sheet name="Пр32 ОМ8" sheetId="32" r:id="rId32"/>
    <sheet name="Пр 33" sheetId="33" r:id="rId33"/>
  </sheets>
  <definedNames>
    <definedName name="_xlnm.Print_Area" localSheetId="2">'Пр 3 Показ 1'!$A$1:$X$15</definedName>
    <definedName name="_xlnm.Print_Area" localSheetId="4">'Пр 5 ОМ 1'!$A$1:$K$50</definedName>
    <definedName name="_xlnm.Print_Area" localSheetId="5">'Пр6 МЗ1'!$A$1:$J$15</definedName>
  </definedNames>
  <calcPr fullCalcOnLoad="1"/>
</workbook>
</file>

<file path=xl/comments5.xml><?xml version="1.0" encoding="utf-8"?>
<comments xmlns="http://schemas.openxmlformats.org/spreadsheetml/2006/main">
  <authors>
    <author>CvindinaGV</author>
  </authors>
  <commentList>
    <comment ref="G43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Здесь ЖКУ
</t>
        </r>
      </text>
    </comment>
    <comment ref="G19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 и 25% оклада
</t>
        </r>
      </text>
    </comment>
  </commentList>
</comments>
</file>

<file path=xl/comments9.xml><?xml version="1.0" encoding="utf-8"?>
<comments xmlns="http://schemas.openxmlformats.org/spreadsheetml/2006/main">
  <authors>
    <author>CvindinaGV</author>
  </authors>
  <commentList>
    <comment ref="F47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Все вместе и соц.поддержка и содержание имущества</t>
        </r>
      </text>
    </comment>
    <comment ref="I71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ЗДЕСЬ ФОРМУЛА НЕ ТРОГАЙТЕ!!!
</t>
        </r>
      </text>
    </comment>
    <comment ref="G51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ЖКУ село+орг мер</t>
        </r>
      </text>
    </comment>
    <comment ref="G20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норматив+25%село(53% от общей суммы)
</t>
        </r>
      </text>
    </comment>
    <comment ref="G24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норматив+25%село(47% от общей суммы)
</t>
        </r>
      </text>
    </comment>
    <comment ref="G21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норматив+25%село</t>
        </r>
      </text>
    </comment>
    <comment ref="G25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норматив+25%село</t>
        </r>
      </text>
    </comment>
    <comment ref="G22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 село
</t>
        </r>
      </text>
    </comment>
    <comment ref="G26" authorId="0">
      <text>
        <r>
          <rPr>
            <b/>
            <sz val="8"/>
            <rFont val="Tahoma"/>
            <family val="2"/>
          </rPr>
          <t>CvindinaGV:</t>
        </r>
        <r>
          <rPr>
            <sz val="8"/>
            <rFont val="Tahoma"/>
            <family val="2"/>
          </rPr>
          <t xml:space="preserve">
норматив+25%село</t>
        </r>
      </text>
    </comment>
  </commentList>
</comments>
</file>

<file path=xl/sharedStrings.xml><?xml version="1.0" encoding="utf-8"?>
<sst xmlns="http://schemas.openxmlformats.org/spreadsheetml/2006/main" count="1610" uniqueCount="455">
  <si>
    <t>Значение показателя</t>
  </si>
  <si>
    <t>Муниципальная программа «Развитие образования» на 2014-2016 годы</t>
  </si>
  <si>
    <t>%</t>
  </si>
  <si>
    <t>Удельный вес численности обучающихся и воспитанников муниципальных образовательных учреждений, которым предоставлена возможность обучаться в соответствии с основными современными требованиями, в общей численности обучающихся.</t>
  </si>
  <si>
    <t>1.4.</t>
  </si>
  <si>
    <t>Удельный вес численности населения в возрасте 5-18 лет, охваченного образованием в общей численности населения в возрасте 5-18 лет.</t>
  </si>
  <si>
    <t>1.5.</t>
  </si>
  <si>
    <t>Перечень показателей муниципальной программы "Развитие образования" на 2014-2016 годы</t>
  </si>
  <si>
    <t>Сведения об объемах финансирования муниципальной программы 
 "Развитие образования" на 2014-2016 годы</t>
  </si>
  <si>
    <t xml:space="preserve">Приложение 4 </t>
  </si>
  <si>
    <t>Муниципальная программа "Развитие образования"</t>
  </si>
  <si>
    <t>Управление образования администрации ЗАТО Александровск</t>
  </si>
  <si>
    <t>Управление муниципальной собственностью администрации ЗАТО Александровск</t>
  </si>
  <si>
    <t>Подпрограмма 1 "Качественное и доступное дошкольное образование"</t>
  </si>
  <si>
    <t>Подпрограмма 2 "Обеспечение предоставления муниципальных услуг в сфере общего и дополнительного образования"</t>
  </si>
  <si>
    <t>Подпрограмма 3 "Развитие системы образования через эффективное выполнение муниципальных функций"</t>
  </si>
  <si>
    <t>Подпрограмма 4 " Обеспечение информационно-методического сопровождения образовательного процесса муниципальных учреждений"</t>
  </si>
  <si>
    <t>Подпрограмма 5 "Обеспечение хозяйственно-эксплуатационного обслуживания учреждений системы образования ЗАТО Александровск"</t>
  </si>
  <si>
    <t>Подпрограмма 6 "Школьное здоровое питание"</t>
  </si>
  <si>
    <t>Подпрограмма 7 "Организация отдыха, оздоровления и занятости детей и молодежи ЗАТО Александровск"</t>
  </si>
  <si>
    <t>Подпрограмма 8 "Развитие современной инфраструктуры системы образования"</t>
  </si>
  <si>
    <t>Приложение 3</t>
  </si>
  <si>
    <t>Основное мероприятие 1.1 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</si>
  <si>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Основное мероприятие 1.2. 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</si>
  <si>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и бесплатного начального общего и дополнительного образования по основным общеобразовательным программам в общеобразовательных учреждениях</t>
  </si>
  <si>
    <t xml:space="preserve"> Предоставление  общедоступного и бесплатного основного общего и дополнительного образования по основным общеобразовательным программам в общеобразовательных учреждениях</t>
  </si>
  <si>
    <t>Основное мероприятие 1.3. 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</si>
  <si>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>Основное мероприятие 1.5.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</si>
  <si>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>Основное мероприятие 1.6.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</si>
  <si>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бесплатного среднего общего образования детя-инвалидам в соответствии с индивидуальной программой реабилитации инвалидов</t>
  </si>
  <si>
    <t>Основное мероприятие 2.5. Содержание имущества  муниципальных образовательных учреждений</t>
  </si>
  <si>
    <t xml:space="preserve">Основное мероприятие 2.6. Предоставление дополнительных платных услуг в муниципальных образовательных учреждениях </t>
  </si>
  <si>
    <t>МАУ "Межшкольный учебный комбинат"</t>
  </si>
  <si>
    <t>Наличие плана мероприятий по реализации государственной социальной политики (в сфере образования) в ЗАТО Александровск.</t>
  </si>
  <si>
    <t>Доля исполнения плана мероприятий по реализации государственной социальной политики (в сфере образования) в ЗАТО Александровск</t>
  </si>
  <si>
    <t>Подпрограмма 1 «Качественное и доступное дошкольное образование»</t>
  </si>
  <si>
    <t>Доля  детей 3-7 лет, которым предоставлена возможность получать услуги дошкольного образования в общей численности детей от 3 до 7 лет, скорректированной на численность детей в возрасте 5-7 лет, обучающихся в школе</t>
  </si>
  <si>
    <t>мониторинг</t>
  </si>
  <si>
    <t>1.6.</t>
  </si>
  <si>
    <t>единиц</t>
  </si>
  <si>
    <t>Приложение 5</t>
  </si>
  <si>
    <t>Перечень основных мероприятий подпрограммы 1. "Качественное и доступное дошкольное образование"</t>
  </si>
  <si>
    <t>Основное мероприятие 1.3. Предоставление общедоступного бесплатного дошкольного образования детям-инвалидам</t>
  </si>
  <si>
    <t>2014-2016</t>
  </si>
  <si>
    <t>1.7.</t>
  </si>
  <si>
    <t>1.8.</t>
  </si>
  <si>
    <t>3.1.</t>
  </si>
  <si>
    <t>Приложение 6</t>
  </si>
  <si>
    <t>человек</t>
  </si>
  <si>
    <t>Наименование основного мероприятия 1.3. Предоставление общедоступного бесплатного дошкольного образования детям-инвалидам</t>
  </si>
  <si>
    <t>Приложение 7</t>
  </si>
  <si>
    <t>Подпрограмма 1 «Обеспечение предоставления муниципальных услуг в сфере общего и дополнительного образования»</t>
  </si>
  <si>
    <t>Отношение среднего балла единого государственного экзамена (в расчете на 1 предмет) в 10 процентах школ с лучшими результатами единого государственного экзамена к среднему баллу государственного экзамена (в расчете на 1 предмет) в 10 процентах школ с худшими результатами единого государственного экзамена.</t>
  </si>
  <si>
    <t xml:space="preserve">Доля обучающихся, освоивших  в полном объеме образовательную программу учебного года и переведенных в следующий класс. </t>
  </si>
  <si>
    <t>Доля обучающихся детей-инвалидов, освоивших в полном объеме образовательную программу учебного года и переведенных в следующий класс.</t>
  </si>
  <si>
    <t>Подпрограмма 1 "Обеспечение предоставления муниципальных услуг в сфере общего и дополнительного образования"</t>
  </si>
  <si>
    <t>Приложение 8</t>
  </si>
  <si>
    <t>Приложение 9</t>
  </si>
  <si>
    <t>Перечень основных мероприятий подпрограммы 2. "Обеспечение предоставления муниципальных услуг в сфере общего и дополнительного образования"</t>
  </si>
  <si>
    <t>Подпрограмма 1 "Обеспечение предоставления услуг в сфере общего и дополнительного образования"</t>
  </si>
  <si>
    <t>2.2.3.</t>
  </si>
  <si>
    <t>Основное мероприятие 1.4 Выплата денежного вознаграждения за выполнение функций классного руководителя</t>
  </si>
  <si>
    <t>2.1.3.</t>
  </si>
  <si>
    <t>2.1.4.</t>
  </si>
  <si>
    <t>1.9.</t>
  </si>
  <si>
    <t>1.10.</t>
  </si>
  <si>
    <r>
      <t xml:space="preserve">Основное мероприятие 1.1 Предоставление общедоступного бесплатного </t>
    </r>
    <r>
      <rPr>
        <b/>
        <sz val="8"/>
        <color indexed="8"/>
        <rFont val="Times New Roman"/>
        <family val="1"/>
      </rPr>
      <t>начального</t>
    </r>
    <r>
      <rPr>
        <sz val="8"/>
        <color indexed="8"/>
        <rFont val="Times New Roman"/>
        <family val="1"/>
      </rPr>
      <t xml:space="preserve"> общего образования по основным общеобразовательным программам в образовательных учреждениях</t>
    </r>
  </si>
  <si>
    <t>Задача 2 «Обеспечение безопасности работы образовательного учреждения и соответствия его современным требованиям»</t>
  </si>
  <si>
    <t>Увеличение числа мест за счет вновь создаваемых мест в дошкольных образовательных учреждениях</t>
  </si>
  <si>
    <t>Доля образовательных учреждений, получивших положительные акты готовности к новому учебному году</t>
  </si>
  <si>
    <t>Выполнение требований СанПиН и технической безопасности учреждений системы образования</t>
  </si>
  <si>
    <t>Выполнение обязательных требований по благоустройству территорий ОУ</t>
  </si>
  <si>
    <t>Основное мероприятие 2.1 Обеспечение пожарной и электрической безопасности учреждений системы образования</t>
  </si>
  <si>
    <t>Основное мероприятие 2.2  Обеспечение выполнения требований СанПиН и технической безопасности учреждений системы образования</t>
  </si>
  <si>
    <t>Основное мероприятие 2.3. Обеспечение благоустройства территории ОУ</t>
  </si>
  <si>
    <t>Основное мероприятие 2.4. Обеспечение антитеррористической и противокриминальной безопасности учреждений системы образования</t>
  </si>
  <si>
    <t>Основное мероприятие 2.5. Обеспечение транспортной безопасности</t>
  </si>
  <si>
    <t>100% обеспеченность населения ЗАТО Александровск местами в ДОУ</t>
  </si>
  <si>
    <t>Перечень основных мероприятий подпрограммы 8 "Развитие современной инфраструктуры системы образования"</t>
  </si>
  <si>
    <t>Перечень объектов капитального строительства в рамках подпрограммы 8 "Развитие современной инфраструктуры системы образования"</t>
  </si>
  <si>
    <t>Уровень обеспеченности населения ЗАТО Александровск спортивными залами.</t>
  </si>
  <si>
    <t>Уровень готовности объекта капитального строительства  "Детский сад на 300 мест в г.Гаджиево" к вводу в эксплуатацию</t>
  </si>
  <si>
    <t>Уровень готовности объекта капитального строительства "Реконструкция детской спортивной школы, г.Снежногорск" к вводу в эксплуатацию</t>
  </si>
  <si>
    <t>"Детский сад в г.Гаджиево на 300 мест" ЗАТО Александровск</t>
  </si>
  <si>
    <t xml:space="preserve"> "Реконструкция детской спортивной школы, г.Снежногорск"</t>
  </si>
  <si>
    <t>Стоимость объекта,рублей, копеек.</t>
  </si>
  <si>
    <t>Приложение 33</t>
  </si>
  <si>
    <t>Задача 1. Увеличение доли обеспеченности населения ЗАТО Александровск объектами социальной инфраструктуры</t>
  </si>
  <si>
    <t>Строительство детского сада  на 300 мест в г.Гаджиево</t>
  </si>
  <si>
    <t>Рост обеспеченности населения ЗАТО Александровск спортивными залами</t>
  </si>
  <si>
    <r>
      <t xml:space="preserve">Основное мероприятие 1.2. Предоставление общедоступного бесплатного </t>
    </r>
    <r>
      <rPr>
        <b/>
        <sz val="8"/>
        <color indexed="8"/>
        <rFont val="Times New Roman"/>
        <family val="1"/>
      </rPr>
      <t>основного</t>
    </r>
    <r>
      <rPr>
        <sz val="8"/>
        <color indexed="8"/>
        <rFont val="Times New Roman"/>
        <family val="1"/>
      </rPr>
      <t xml:space="preserve"> общего образования по основным общеобразовательным программам в образовательных учреждениях</t>
    </r>
  </si>
  <si>
    <t>Предоставление общедоступного бесплатного дошкольного образования</t>
  </si>
  <si>
    <t>Приложение 10</t>
  </si>
  <si>
    <t>Перечень показателей подпрограммы 3 "Развитие системы образования через эффективное выполнение муниципальных функций"</t>
  </si>
  <si>
    <t>да - 1,                      нет - 0</t>
  </si>
  <si>
    <t>Задача 1 «Обеспечение прав граждан на получение образования в соответствии с действующим законодательством Российской Федерации»</t>
  </si>
  <si>
    <t xml:space="preserve">Уровень обеспеченности населения ЗАТО Александровск общедоступным и бесплатным дошкольным образованием по основным общеобразовательным программам в муниципальных дошкольных образовательных учреждениях </t>
  </si>
  <si>
    <t xml:space="preserve">Уровень обеспеченности населения ЗАТО Александровск общедоступным и бесплатным начальным общим, основным общим, средним общим образованием по основным общеобразовательным программам в муниципальных общеобразовательных учреждениях </t>
  </si>
  <si>
    <t>Задача 2  "Охрана прав детей, оставшихся без попечения родителей"</t>
  </si>
  <si>
    <t>Доля детей, устроенных в приемную семью, отданных под опеку, усыновленных (удочеренных), от общей численности детей, стоящих на учете в органе опеки и попечительства</t>
  </si>
  <si>
    <t>Доля отдохнувших детей, находящихся в ТЖС, в оздоровительных учреждениях за пределами Мурманской области от общего количества  охваченных отдыхом детей</t>
  </si>
  <si>
    <t>Задача 1 «Создание условий для обеспечения круглогодичного организованного отдыха и оздоровления детей в возрасте от 6 до 18 лет»</t>
  </si>
  <si>
    <t>Наличие организованного круглогодичного отдыха и оздоровления детей</t>
  </si>
  <si>
    <t>да-1
нет-0</t>
  </si>
  <si>
    <t>Задача 1. Создание условий для обеспечения организованного отдыха и оздоровления детей в возрасте от 6 до 18 лет</t>
  </si>
  <si>
    <t>Основное мероприятие 1.1 Организация отдыха и оздоровления детей в возрасте от 6 до 18 лет</t>
  </si>
  <si>
    <t>увеличение охвата детей мероприятиями отдыха и оздоровления от общей численности детей ЗАТО Александровск в возрасте от 6 до 18 лет</t>
  </si>
  <si>
    <t>МБУО ИМЦ</t>
  </si>
  <si>
    <t>Основное мероприятие 1.2. Предоставление дополнительных платных услуг</t>
  </si>
  <si>
    <t>удовлетворение потребности населения в предоставлении услуг по отдыху и оздоровлению детей</t>
  </si>
  <si>
    <t>Наименование основного мероприятия 1.1. Организация отдыха, оздоровления и занятости детей в возорасте от 6 до 18 лет</t>
  </si>
  <si>
    <t>Приложение 2</t>
  </si>
  <si>
    <t>Контроль</t>
  </si>
  <si>
    <t>Задача 1 «Увеличение доли обеспеченности населения ЗАТО Александровск объектами социальной инфраструк-туры»</t>
  </si>
  <si>
    <r>
      <t xml:space="preserve">Основное мероприятие 1.4. Предоставление общедоступного и бесплатного </t>
    </r>
    <r>
      <rPr>
        <b/>
        <sz val="8"/>
        <color indexed="8"/>
        <rFont val="Times New Roman"/>
        <family val="1"/>
      </rPr>
      <t>начального</t>
    </r>
    <r>
      <rPr>
        <sz val="8"/>
        <color indexed="8"/>
        <rFont val="Times New Roman"/>
        <family val="1"/>
      </rPr>
      <t xml:space="preserve"> общего образования детям-инвалидам в соответствии с индивидуальной программой реабилитации инвалидов</t>
    </r>
  </si>
  <si>
    <r>
      <t xml:space="preserve">Основное мероприятие 1.5. Предоставление общедоступного и бесплатного </t>
    </r>
    <r>
      <rPr>
        <b/>
        <sz val="8"/>
        <color indexed="8"/>
        <rFont val="Times New Roman"/>
        <family val="1"/>
      </rPr>
      <t>основного</t>
    </r>
    <r>
      <rPr>
        <sz val="8"/>
        <color indexed="8"/>
        <rFont val="Times New Roman"/>
        <family val="1"/>
      </rPr>
      <t xml:space="preserve"> общего образования детям-инвалидам в соответствии с индивидуальной программой реабилитации инвалидов</t>
    </r>
  </si>
  <si>
    <t>Основное мероприятие 1.7. Организация предоставления общедоступного и бесплатного начального общего, основного общего,</t>
  </si>
  <si>
    <t xml:space="preserve">Основное мероприятие 1.8.  Реализация мер социальной поддержки отдельных категорий граждан, работающих в муниципальных общеобразовательных учреждениях, расположенных в сельских населенных пунктах </t>
  </si>
  <si>
    <t xml:space="preserve">Основное мероприятие 1.9. Предоставление дополнительных платных услуг в общеобразовательных учреждениях </t>
  </si>
  <si>
    <t>Приложение 1</t>
  </si>
  <si>
    <t xml:space="preserve">Основное мероприятие 1.7.  Реализация мер социальной поддержки отдельных категорий граждан, работающих в муниципальных дошкольных образовательных учреждениях, расположенных в сельских населенных пунктах </t>
  </si>
  <si>
    <t xml:space="preserve">Удовлетворение потребностей населения ЗАТО Александровск в услугах, предоставляемых сверх основной образовательной программы дополнительного образования детей </t>
  </si>
  <si>
    <t>Предоставление информационно-методической поддержки муниципальным образовательным учреждениям</t>
  </si>
  <si>
    <t>обеспечение условий для выполнения работы по информационно-методическому сопровождению</t>
  </si>
  <si>
    <t>Основное мероприятие 1.4. Дополнительные платные услуги. Предоставление организованного одноразового и двухразового питания обучающимся МОУ</t>
  </si>
  <si>
    <t>Реконструкция детской спортивной школы, г.Снежногорск</t>
  </si>
  <si>
    <t>Обеспечение безопасности перевозок обучающихся и воспитанников образовательных учреждений</t>
  </si>
  <si>
    <t>Пожарная и электрическая безопасность учреждений системы образования</t>
  </si>
  <si>
    <t>Антитеррористическая и противокриминальная безопасность учреждений системы образования</t>
  </si>
  <si>
    <t>Доля детей-сирот, детей, оставшихся без попечения родителей, воспитывающихся в семьях опекунов, попечителей, приемных родителей, получающих полное государственное обеспечение от общего числа детей, стоящих на учете</t>
  </si>
  <si>
    <t>2.4.2.</t>
  </si>
  <si>
    <t xml:space="preserve">Процент исполнения муниципальных заданий, выданных подведомственным муниципальным бюджетным и автономным учреждениям </t>
  </si>
  <si>
    <t>Отсутствие просроченной кредиторской задолженности подведомственных муниципальных бюджетных и автономных учреждений</t>
  </si>
  <si>
    <t>Сведения об объемах финансирования подпрограммы 3 "Развитие системы образования через эффективное выполнение муниципальных функций"</t>
  </si>
  <si>
    <t>4.1.</t>
  </si>
  <si>
    <t>5</t>
  </si>
  <si>
    <t>5.1.</t>
  </si>
  <si>
    <t>6</t>
  </si>
  <si>
    <t>6.1.</t>
  </si>
  <si>
    <t>7</t>
  </si>
  <si>
    <t>7.1.</t>
  </si>
  <si>
    <t>Предоставление дополнительного образования детям в муниципальных образовательных учреждениях</t>
  </si>
  <si>
    <t>8</t>
  </si>
  <si>
    <t>8.1.</t>
  </si>
  <si>
    <t>Приложение 11</t>
  </si>
  <si>
    <t>Подпрограмма 3 «Развитие системы образования через эффективное выполнение муниципальных функций»</t>
  </si>
  <si>
    <t>2.3.</t>
  </si>
  <si>
    <t>2.3.1.</t>
  </si>
  <si>
    <t>2.4.</t>
  </si>
  <si>
    <t>2.4.1.</t>
  </si>
  <si>
    <t>2.5.</t>
  </si>
  <si>
    <t>Приложение 12</t>
  </si>
  <si>
    <t>Приложение 13</t>
  </si>
  <si>
    <t>4.</t>
  </si>
  <si>
    <t xml:space="preserve">Удовлетворение потребностей населения ЗАТО Александровск в услугах, предоставляемых сверх основной общеобразовательной программы </t>
  </si>
  <si>
    <t>Сохранение квалифицированных кадров для оказания качественных услуг в сфере общего образования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</si>
  <si>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</si>
  <si>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</si>
  <si>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</si>
  <si>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 xml:space="preserve">Создание условий для предоставления населению ЗАТО Александровск качественных услуг в сфере общего образования 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</si>
  <si>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</si>
  <si>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</si>
  <si>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</t>
  </si>
  <si>
    <t>Предоставление доступа населению ЗАТО Александровск к получению качественных услуг дополнительного образования детей</t>
  </si>
  <si>
    <t>Создание условий для предоставления населению ЗАТО Александровск качественных услуг в сфере дополнительного образования детей</t>
  </si>
  <si>
    <t xml:space="preserve">Муниципальные общеобразовательные учреждения </t>
  </si>
  <si>
    <t>Муниципальные учреждения дополнительного образования детей</t>
  </si>
  <si>
    <t>Задача 4  "Осуществление функций и полномочий учредителя муниципальных учреждений сферы образования ЗАТО Александровск"</t>
  </si>
  <si>
    <t>2.4.3.</t>
  </si>
  <si>
    <t xml:space="preserve">Задача 3  "Координация деятельности по организации отдыха и оздоровления детей в каникулярный период, занятости детей и подростков в летний период." </t>
  </si>
  <si>
    <t>Доля муниципальных учреждений, которым выдано муниципальное задание на оказание муниципальных услуг (выполнение работ), в общем количестве учреждений</t>
  </si>
  <si>
    <t>Задача 3. "Координация деятельности по организации отдыха и оздоровления детей в каникулярный период, занятости детей и подростков в летний период"</t>
  </si>
  <si>
    <t>Задача 4. "Осуществление функций и полномочий учредителя муниципальных учреждений сферы образования ЗАТО Александровск"</t>
  </si>
  <si>
    <t>Наличие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</si>
  <si>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>Основное мероприятие 3.1.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</si>
  <si>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>Создание благоприятных условий для отдыха и оздоровления детей в каникулярный период, занятости детей и подростков в летний период</t>
  </si>
  <si>
    <t xml:space="preserve">Основное мероприятие 4.1. Разработка и реализация планов по рационализации сети образовательных учреждений (создание, реорганизация, ликвидация) </t>
  </si>
  <si>
    <t>Создание оптимальной структуры образовательной системы ЗАТО Александровск</t>
  </si>
  <si>
    <t>4.2.</t>
  </si>
  <si>
    <t>4.3.</t>
  </si>
  <si>
    <t>Основное мероприятие 4.2. 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</t>
  </si>
  <si>
    <t>Основное мероприятие 4.3. Формирование, выдача и финансовое обеспечение муниципальных заданий на оказание услуг (выполнение работ) подведомственным учреждениям</t>
  </si>
  <si>
    <t>4.4.</t>
  </si>
  <si>
    <t>Основное мероприятие 4.4. Контроль за исполнением подведомственными учреждениями муниципальных заданий на оказание услуг (выполнение работ)</t>
  </si>
  <si>
    <t>4.5.</t>
  </si>
  <si>
    <t>Приложение 14</t>
  </si>
  <si>
    <t>Перечень показателей подпрограммы 4. Обеспечение информационно-методического сопровождения образовательного процесса муниципальных учреждений</t>
  </si>
  <si>
    <t>Подпрограмма 4 «Обеспечение информационно-методического сопровождения образовательного процесса муниципальных учреждений»</t>
  </si>
  <si>
    <t>Доля общеобразовательных учреждений, внедривших модели оценки и учета индивидуальных учебных и внеучебных достижений обучающихся, в общем числе общеобразовательных учреждений</t>
  </si>
  <si>
    <t>Приложение 15</t>
  </si>
  <si>
    <t>Сведения об объемах финансирования подпрограммы 4. "Обеспечение информационно-методического сопровождения образовательного процесса муниципальных учреждений"</t>
  </si>
  <si>
    <t>Приложение 16</t>
  </si>
  <si>
    <t>Перечень основных мероприятий подпрограммы 4. "Обеспечение информационно-методического сопровождения образовательного процесса муниципальных учреждений"</t>
  </si>
  <si>
    <t>Подпрограмма 4 "Обеспечение информационно-методического сопровождения образовательного процесса муниципальных учреждений"</t>
  </si>
  <si>
    <t>Приложение 17</t>
  </si>
  <si>
    <t>информационно-методическое сопровождение образовательного процесса учреждений системы образования ЗАТО Александровск</t>
  </si>
  <si>
    <t>учреждение</t>
  </si>
  <si>
    <t>Приложение 18</t>
  </si>
  <si>
    <t>Подпрограмма 5 «Обеспечение хозяйственного обслуживания учреждений системы образования ЗАТО Александровск»</t>
  </si>
  <si>
    <t>Задача 1 «Комплексное и качественное хозяйственно-эксплуатационное обслуживание учреждений системы образования ЗАТО Александровск»</t>
  </si>
  <si>
    <t>Уровень удовлетворенности учреждений хозяйственно-эксплуатационным обслуживанием</t>
  </si>
  <si>
    <t>анкетирование</t>
  </si>
  <si>
    <t>Приложение 19</t>
  </si>
  <si>
    <t>Приложение 20</t>
  </si>
  <si>
    <t>Перечень основных мероприятий подпрограммы 5. "Обеспечение хозяйственно-эксплуатационного обслуживания учреждений системы образования ЗАТО Александровск"</t>
  </si>
  <si>
    <t>Задача 1. Комплексное и качественное хозяйственно-эксплуатационное обслуживание учреждений системы образования ЗАТО Александровск</t>
  </si>
  <si>
    <t>Приложение 21</t>
  </si>
  <si>
    <t>хозяйственно-эксплуатационное обслуживание учреждений образования и образовательных учреждений ЗАТО Александровск</t>
  </si>
  <si>
    <t>Приложение 22</t>
  </si>
  <si>
    <t>Перечень показателей подпрограммы 6. Школьное здоровое питание</t>
  </si>
  <si>
    <t>Подпрограмма 6 «Школьное здоровое питание»</t>
  </si>
  <si>
    <t>Доля обучающихся в 1-4 классах МОУ, получающих бесплатное молоко</t>
  </si>
  <si>
    <t>Доля отдельных категорий обучающихся, имеющих право на обеспечение бесплатным питанием от общего количества обучающихся МОУ</t>
  </si>
  <si>
    <t xml:space="preserve">Доля обучающихся, обеспеченных организованным одноразовым питанием от общего количества обучающихся МОУ </t>
  </si>
  <si>
    <t>Доля детей, обеспеченных питанием в оздоровительном лагере дневного пребывания</t>
  </si>
  <si>
    <t>Доля  нормативных актов ЗАТО Александровск, регламентирующих предоставление образовательных услуг муниципальными образовательными уч-реждениями, приведенных в соответствие с действующим законодательством Российской Федерации в сфере образования, в их общем количестве.*</t>
  </si>
  <si>
    <r>
      <t>*</t>
    </r>
    <r>
      <rPr>
        <sz val="11"/>
        <color theme="1"/>
        <rFont val="Calibri"/>
        <family val="2"/>
      </rPr>
      <t xml:space="preserve"> статья 108 Федерального закона от 29.12.2012  № 273-ФЗ "Об образовании в Российской Федерации" дает возможность приведения нормативной базы до 01.01.2016 года, так же необходымы подзаконные акты, в том числе и регионального уровня.</t>
    </r>
  </si>
  <si>
    <t>Охват педагогических и руководящих работников курсовой подготовкой (от общего количества педагогических и руководящих работников)</t>
  </si>
  <si>
    <t>ведомственные данные</t>
  </si>
  <si>
    <t>Соответствие информации, размещенной на сайтах учреждений системы образования ЗАТО Александровск, действующему законодательству</t>
  </si>
  <si>
    <t>Задача 1 «Создание современной информационно-методической базы для учреждений системы образования»</t>
  </si>
  <si>
    <t>да - 1
нет - 0</t>
  </si>
  <si>
    <t>Проведение оценки эффективности деятельности МБОУ ИМЦ</t>
  </si>
  <si>
    <t>Задача 1. Создание современной информационно-методической базы для учреждений системы образования ЗАТО Александровск</t>
  </si>
  <si>
    <t>Основное мероприятие 1.1 Информационно-методическое сопровождение образовательного процесса учреждений системы образования ЗАТО Александровск</t>
  </si>
  <si>
    <t>Основное мероприятие 1.2  Содержание недвижимого и особо ценного движимого имущества МБОУ ИМЦ</t>
  </si>
  <si>
    <t>Основное мероприятие 1.3. Предоставление дополнительных платных услуг</t>
  </si>
  <si>
    <t>МБОУ ИМЦ</t>
  </si>
  <si>
    <t>удовлетворение потребности учреждений и населения в предоставлении долполнительных услугах сверх муниципального задания</t>
  </si>
  <si>
    <t>Наименование основного мероприятия 1.1. Информационно-методическое сопровождение образовательного процесса учреждений системы образования ЗАТО Александровск</t>
  </si>
  <si>
    <t>Наличие банка нормативно-правовой и организационной педагогической информации (периодические профессиональные издания, электронная система "Образование", точки выхода в Интернет)</t>
  </si>
  <si>
    <t>Количество обобщеного и распространенного опыта работы педагогов муниципальных учреждений</t>
  </si>
  <si>
    <t xml:space="preserve">2014год </t>
  </si>
  <si>
    <t>2016 год</t>
  </si>
  <si>
    <t>Предоставление общедоступного бесплатного дошкольного образования детя-инвалидам</t>
  </si>
  <si>
    <t>1.1.1.</t>
  </si>
  <si>
    <t>1.2.1.</t>
  </si>
  <si>
    <t>1.3.1.</t>
  </si>
  <si>
    <t>Задача 1 «Создание в системе дошкольного образования равных возможностей для современного качественного образования и позитивной социализации детей»</t>
  </si>
  <si>
    <t>да - 1                   нет - 0</t>
  </si>
  <si>
    <t>Перечень показателей подпрограммы 2 "Обеспечение предоставления муниципальных услуг в сфере общего и дополнительного образования"</t>
  </si>
  <si>
    <t>Доля обучающихся общеобразовательных учреждений, обучение которых осуществляется в соответствии с федеральными государственными образова-тельными стандартами, в общем количестве обучающихся общеобразовательных учреждений ЗАТО Александровск.</t>
  </si>
  <si>
    <t>Доля детей в возрасте 5-18 лет, охваченных программами дополнительного образования.</t>
  </si>
  <si>
    <t>Статистические данные</t>
  </si>
  <si>
    <t>Задача 1 "Обеспечение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образования"</t>
  </si>
  <si>
    <t>Ведомственные данные        Данные Рособрнадзора</t>
  </si>
  <si>
    <t>Разработка и утверждение нормативных правовых актов, обеспечивающих введение и реализацию ФГОС общего образования</t>
  </si>
  <si>
    <t>2.1.5.</t>
  </si>
  <si>
    <t>Проведение оценки эффективности деятельности общеобразовательных учреждений, их руководителей и основных категорий работников</t>
  </si>
  <si>
    <t>Доля обучающихся, успешно прошедших государственную (итоговую) аттестацию и получивших аттестат о среднем  общем образовании.</t>
  </si>
  <si>
    <t>2.1.6.</t>
  </si>
  <si>
    <t>Задача 2 «Обеспечение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населения»</t>
  </si>
  <si>
    <t xml:space="preserve">Отношение фактического среднегодового количества обучающихся учреждений дополнительного образования к плановому </t>
  </si>
  <si>
    <t>Статистические данные Ведомственные данные</t>
  </si>
  <si>
    <t>Разработка и реализация плана мероприятий по развитию системы дополнительного образования детей    ЗАТО Александровск</t>
  </si>
  <si>
    <t>Доля детей – инвалидов, которым предоставлена возможность освоения общеобразовательных программ дошкольного образования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</si>
  <si>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</si>
  <si>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>Задача 1. Обеспечение прав граждан на получение образования в соответствии с действующим законодательством Российской Федерации</t>
  </si>
  <si>
    <t>Основное мероприятие 1.1. 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</t>
  </si>
  <si>
    <t>Задача 1 «Создание условий для обеспечения организованным питанием обучающихся на бесплатной и платной основе»</t>
  </si>
  <si>
    <t>Наличие вариативных форм организованного питания обучающихся</t>
  </si>
  <si>
    <t>Проведение оценки эффективности деятельности МАУО "КШП"</t>
  </si>
  <si>
    <t>МАУО "КШП", муниципальные общеобразовательные учреждения</t>
  </si>
  <si>
    <t>Основное мероприятие 1.3. Предоставление питания детям, находящимся в оздоровительном лагере дневного пребывания в МОУ</t>
  </si>
  <si>
    <t>Основное мероприятие 1.5. Содержание имущества МАУО "КШП"</t>
  </si>
  <si>
    <t>создание условий для организации питания обучающихся</t>
  </si>
  <si>
    <t>МАУО "КШП"</t>
  </si>
  <si>
    <t>Наименование основного мероприятия 1.3. Предоставление питания детям, находящимся в оздоровительном лагере дневного пребывания в МОУ</t>
  </si>
  <si>
    <t>Сведения об объемах финансирования подпрограммы 6 "Школьное здоровое питание"</t>
  </si>
  <si>
    <t>Задача 1. Создание условий для обеспечения организованным питанием обучающихся на бесплатной и платной основе</t>
  </si>
  <si>
    <t>Основное мероприятие 1.2. Контроль и диагностика деятельности муниципальных образовательных учреждений по обеспечению выполнения государственных стандартов образования</t>
  </si>
  <si>
    <t xml:space="preserve">Соотвествие качества образовательных услуг, предоставляемых муниципальными образовательными учреждениями, требованиям государственных стандартов </t>
  </si>
  <si>
    <t xml:space="preserve">Создание правовой базы, обеспечивающей предоставление (выполнение) качественных и доступных услуг (работ) муниципальными учреждениями </t>
  </si>
  <si>
    <t>Основное мероприятие 1.3. Участие в аттестации обучающихся и воспитанников, педагогических и руководящих работников муниципальных образовательных учреждений</t>
  </si>
  <si>
    <t>Соблюдение процессуальных норм и порядка, установленных действующим законодательством Российской Федерации и Мурманской области</t>
  </si>
  <si>
    <t>Основное мероприятие 1.4. Контроль над соблюдением действующего законодательства Российской Федерации и Мурманской области об образовании</t>
  </si>
  <si>
    <t>Обеспечение соблюдения муниципальными образовательными учреждениями государственных гарантий, механизмов реализации прав и свобод человека в сфере образования, защита прав и интересов участников отношений в сфере образования</t>
  </si>
  <si>
    <t>Задача 2. Охрана прав детей, оставшихся без попечения родителей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</si>
  <si>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</si>
  <si>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Социальная поддержка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</t>
  </si>
  <si>
    <t xml:space="preserve">Социальная поддержка детям-сиротам и детям, оставшимся без попечения родителей, лицам из числа  детей-сирот и детей, оставшихся без попечения родителей, по оплате жилого помещения и коммунальных услуг </t>
  </si>
  <si>
    <t>Улучшение условий проживания детей-сирот и детей, оставшихся без попечения родителей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</si>
  <si>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</si>
  <si>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Основное мероприятие 2.1. Реализация переданных государственных полномочий по опеке и попечительству в отношении несовершеннолетних</t>
  </si>
  <si>
    <t>Основное мероприятие 2.2. 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</si>
  <si>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Основное мероприятие 2.3. 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</si>
  <si>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Основное мероприятие 2.4. 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</si>
  <si>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Основное мероприятие 2.5. Выплата денежного вознаграждения лицам, осуществляющим постинтернатный патронат в отношении несовершеннолетних и социальный патронат</t>
  </si>
  <si>
    <t>2.6.</t>
  </si>
  <si>
    <t>Создание благоприятных условий для семейного устройства детей-сирот и детей, оставшихся без попечения  родителей</t>
  </si>
  <si>
    <t xml:space="preserve">Основное мероприятие 2.6. Содержание ребенка в семье опекуна (попечителя) и приемной семье, а также вознаграждение, причитающееся приемному родителю </t>
  </si>
  <si>
    <t>Проведение оценки эффективности деятельности учреждений дополнительного образования детей, их руководителей и основных категорий работников</t>
  </si>
  <si>
    <t>Сведения об объемах финансирования подпрограммы 2 "Обеспечение предоставления муниципальных услуг в сфере общего и дополнительного образования"</t>
  </si>
  <si>
    <r>
      <t xml:space="preserve">Основное мероприятие 1.3. Предоставление общедоступного бесплатного </t>
    </r>
    <r>
      <rPr>
        <b/>
        <sz val="8"/>
        <color indexed="8"/>
        <rFont val="Times New Roman"/>
        <family val="1"/>
      </rPr>
      <t xml:space="preserve">среднего </t>
    </r>
    <r>
      <rPr>
        <sz val="8"/>
        <color indexed="8"/>
        <rFont val="Times New Roman"/>
        <family val="1"/>
      </rPr>
      <t>общего образования по основным общеобразовательным программам в образовательных учреждениях</t>
    </r>
  </si>
  <si>
    <t xml:space="preserve"> среднего общего образования по основным образовательным программам (за исключением </t>
  </si>
  <si>
    <t>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</si>
  <si>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>Основное мероприятие 2.1. Предоставление дополнительного образования детям в учреждениях дополнительного образования детей</t>
  </si>
  <si>
    <t>Основное мероприятие 2.2. Содержание имущества  учреждений дополнительного образования детей</t>
  </si>
  <si>
    <t>Основное мероприятие 2.3. Предоставление дополнительных платных услуг в учреждениях дополнительного образования детей</t>
  </si>
  <si>
    <t>Основное мероприятие 1.8. Предоставление дополнительных платных услуг</t>
  </si>
  <si>
    <t>Привлечение квалифицированных кадров в муниципальные учреждения, расположенные в сельской местности, для повышения качества, услуг оказываемых населению</t>
  </si>
  <si>
    <t>Приложение 23</t>
  </si>
  <si>
    <t>Приложение 24</t>
  </si>
  <si>
    <t>Перечень основных мероприятий подпрограммы 6. "Школьное здоровое питание"</t>
  </si>
  <si>
    <t>Основное мероприятие 1.1 Предоставление бесплатного молока обучающимся в 1-4 классах МОУ</t>
  </si>
  <si>
    <t>Основное мероприятие 1.2  Предоставление бесплатного питания отдельным категориям обучающихся МОУ</t>
  </si>
  <si>
    <t>обеспечением молоком обучсающихся 1-4 классов</t>
  </si>
  <si>
    <t>увеличение доли обучающихся, получающих питание на бесплатной основе</t>
  </si>
  <si>
    <t>увеличение доли обучающихся, получающих оргнаизованное горячее питание</t>
  </si>
  <si>
    <t>обеспечение питанием детей, находящихся в оздоровительном лагере дневного пребывания</t>
  </si>
  <si>
    <t>Приложение 25</t>
  </si>
  <si>
    <t>Наименование основного мероприятия 1.1. Предоставление бесплатного молока обучающимся в 1-4 классах МОУ</t>
  </si>
  <si>
    <t>обеспечение бесплатным молоком отдельных категорий обучающихся</t>
  </si>
  <si>
    <t>Наименование основного мероприятия 1.2. Предоставление бесплатного питания отдельным категориям обучающихся МОУ</t>
  </si>
  <si>
    <t>обеспечение бесплатным питанием отдельных категорий обучающихся</t>
  </si>
  <si>
    <t>организация отдыха детей в каникулярное время</t>
  </si>
  <si>
    <t>Приложение 26</t>
  </si>
  <si>
    <t>Перечень показателей подпрограммы 7. Организация отдыха, оздоровления и занятости детей и молодежи ЗАТО Александровск</t>
  </si>
  <si>
    <t>Подпрограмма 7 «Организация отдыха, оздоровления и занятости детей и молодежи ЗАТО Александровск»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</si>
  <si>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</si>
  <si>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 xml:space="preserve">Доля отдохнувших детей, находящихся в трудной жизненной ситуации (далее – ТЖС), в городских оздоровительных лагерях с дневным пребыванием детей от общего количества охваченных отдыхом детей </t>
  </si>
  <si>
    <t>Доля отдохнувших детей в оздоровительных учреждениях за пределами Мурманской области от общего количества  охваченных отдыхом детей</t>
  </si>
  <si>
    <t>Уровень удовлетворенности населения услугами по организации оздоровления детей</t>
  </si>
  <si>
    <t>анкетирование обучающихся (законных представителей)</t>
  </si>
  <si>
    <t>Приложение 27</t>
  </si>
  <si>
    <t>Сведения об объемах финансирования подпрограммы 7. "Организация отдыха, оздоровления и занятости детей и молодежи ЗАТО Александровск"</t>
  </si>
  <si>
    <t>Приложение 28</t>
  </si>
  <si>
    <t>Перечень основных мероприятий подпрограммы 7. "Организация отдыха, оздоровления и занятости детей и молодежи ЗАТО Александровск"</t>
  </si>
  <si>
    <t xml:space="preserve">Основное мероприятие 4.5. Учет детей, подлежащих обучению по образовательным программам дошкольного, начального общего, основного общего и среднего общего </t>
  </si>
  <si>
    <t>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</si>
  <si>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 xml:space="preserve">4.6. </t>
  </si>
  <si>
    <t>Основное мероприятие 4.6. Участие в лицензировании, аттестации, аккредитации муниципальных образовательных учреждений в соответствии с полномочиями</t>
  </si>
  <si>
    <t>4.7.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</si>
  <si>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</t>
  </si>
  <si>
    <t>4.8.</t>
  </si>
  <si>
    <t>Основное мероприятие 4.7.</t>
  </si>
  <si>
    <t>Основное мероприятие 4.8. Контроль деятельности подведомственных учреждений по исполнению бюджетной и финансовой дисциплины, осуществлению хозяйственной деятельности</t>
  </si>
  <si>
    <t>Создание необходимых условий для предоставления населению ЗАТО Александровск муниципальных услуг (выполнения работ)</t>
  </si>
  <si>
    <t>Финансовое обеспечение выполнения муниципальных заданий</t>
  </si>
  <si>
    <t>Качество и доступность предоставляемых подведомственными муниципальными учреждениями муниципальных услуг (выполнение работ)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</si>
  <si>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</t>
  </si>
  <si>
    <t>Исполнение требований действующего законодательства в части лицензирования, аттестации, аккредитации муниципальных образовательных учреждений</t>
  </si>
  <si>
    <t>Исполнение требований действующего законодательства в части предоставления в сооветствующие органы достоверной консолидированной статистической, финансовой и бухгалтерской отчетности</t>
  </si>
  <si>
    <t>Исполнение требований действующего законодательства в части соблюдения подведомственными учреждениями бюджетной и финансовой дисциплины</t>
  </si>
  <si>
    <t>Приложение 29</t>
  </si>
  <si>
    <t>Приложение 30</t>
  </si>
  <si>
    <t>Перечень показателей подпрограммы 8. Развитие современной инфраструктуры системы  образования</t>
  </si>
  <si>
    <t>Подпрограмма 8 «Развитие современной инфраструктуры системы образования»</t>
  </si>
  <si>
    <t>Доля   выполненных мероприятий по устранению нарушений обязательных требований по благоустройству территорий ОУ от общего плана мероприятий</t>
  </si>
  <si>
    <t>Доля   выполненных предписаний надзорных органов по устранению нарушений обязательных требований к материально-техническому состоянию учреждений системы образования от общего количества поступивших предписаний</t>
  </si>
  <si>
    <t>Приложение 31</t>
  </si>
  <si>
    <t>Сведения об объемах финансирования подпрограммы 8. "Развитие современной инфраструктуры системы образования"</t>
  </si>
  <si>
    <t>Приложение 32</t>
  </si>
  <si>
    <t>300 мест; площадь застройки - 1852,51 м2; Общая площадь -4319,26 м2; Количество групп - 12, Строительный объем - 21921,11 м2</t>
  </si>
  <si>
    <t>декабрь 2013- 25 декабря 2015 г.</t>
  </si>
  <si>
    <t>Перечень показателей подпрограммы 5 "Обеспечение хозяйственного обслуживания учреждений системы образования ЗАТО Александровск"</t>
  </si>
  <si>
    <t>Уровень  готовности  МОУ к учебному процессу  в условиях, обеспечивающих соответствие образова-тельных учреждений современным требованиям</t>
  </si>
  <si>
    <t>Сведения об объемах финансирования подпрограммы 5 "Обеспечение хозяйственно-эксплуатационного обслуживания учреждений системы образования ЗАТО Александровск"</t>
  </si>
  <si>
    <t>Основное мероприятие 1.1  Комплексное и качественное хозяйственно-эксплуатационное обслуживание учреждений системы образования ЗАТО Александровск</t>
  </si>
  <si>
    <t>Обеспечение бесперебойной работы учреждений системы образования ЗАТО Александровск</t>
  </si>
  <si>
    <t>Основное мероприятие 1.2 Содержание имущества МАУ "ХЭК"</t>
  </si>
  <si>
    <t>Создание условий для обеспечения бесперебойной работы учреждений системы образования ЗАТО Александровск</t>
  </si>
  <si>
    <t>Основное мероприятие 1.3. Предоставление платных услуг</t>
  </si>
  <si>
    <t>Предоставление услуг (выполнение работ) сверх муниципального задания</t>
  </si>
  <si>
    <t>2014 год</t>
  </si>
  <si>
    <t>Сведения об объемах финансирования подпрограммы 1                                                                                                                                                                                "Качественное и доступное дошкольное образование"</t>
  </si>
  <si>
    <t>Перечень показателей подпрограммы 1 "Качественное и доступное дошкольное образование"</t>
  </si>
  <si>
    <t>Статистическая отчетность</t>
  </si>
  <si>
    <t>Ведомственные данные</t>
  </si>
  <si>
    <t>Соответствие образовательных программ дошкольного образования, реализуемых в МДОУ ЗАТО Александровск, федеральному государственному стандарту дошкольного образования</t>
  </si>
  <si>
    <t>Увеличение числа мест в группах кратковременного пребывания</t>
  </si>
  <si>
    <t>Проведение оценки эффективности деятельности дошкольных образовательных учреждений, их руководителей и основных категорий работников</t>
  </si>
  <si>
    <t>Предоставление доступа населения ЗАТО Александровск к получению общедоступного и бесплатного дошкольного образования по основным общеобразовательным программам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</si>
  <si>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</si>
  <si>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Основное мероприятие 1.2. Создание условий для осуществления присмотра и ухода за детьми, содержания детей в муниципальных дошкольных образовательных учреждениях</t>
  </si>
  <si>
    <t>Освоение программ дошкольного образования детьми-инвалидами</t>
  </si>
  <si>
    <t>Обеспечение условий для предоставления услуг дошкольного образования населению ЗАТО Александровск муниципальными дошкольными образовательными учреждениями</t>
  </si>
  <si>
    <t>Основное мероприятие 1.4. Содержание недвижимого и особо ценного движимого имущества муниципальных дошкольных образовательных учреждений</t>
  </si>
  <si>
    <t xml:space="preserve">Основное мероприятие 1.1.  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учреждениях </t>
  </si>
  <si>
    <t>Основное мероприятие 1.5.Организация мер по предоставлению и выплате компенсации части родительской платы за присмотр и уход за ребенком в ДОУ</t>
  </si>
  <si>
    <t>Основное мероприятие 1.6. Выплата компенсации части родительской платы за присмотр и уход за ребенком в ДОУ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</si>
  <si>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</t>
  </si>
  <si>
    <t>Реализация права на получение компенсации части родительской платы одним из родителей (законным представителем), внесшим родительскую плату за присмотр и уход за детьми в МДОУ</t>
  </si>
  <si>
    <t xml:space="preserve"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</t>
  </si>
  <si>
    <t xml:space="preserve"> МДОУ</t>
  </si>
  <si>
    <t xml:space="preserve">2014 год </t>
  </si>
  <si>
    <t xml:space="preserve">2015 год </t>
  </si>
  <si>
    <t xml:space="preserve">2016 год </t>
  </si>
  <si>
    <t>Осуществление присмотра и ухода за детьми, содержание детей в муниципальных дошкольных образовательных учреждениях</t>
  </si>
  <si>
    <t xml:space="preserve"> № п/п</t>
  </si>
  <si>
    <t>Годы реализации</t>
  </si>
  <si>
    <t>ОБ</t>
  </si>
  <si>
    <t>ФБ</t>
  </si>
  <si>
    <t>МБ</t>
  </si>
  <si>
    <t>ВБС</t>
  </si>
  <si>
    <t>Всего</t>
  </si>
  <si>
    <t>1.1.</t>
  </si>
  <si>
    <t>1.2.</t>
  </si>
  <si>
    <t>Соисполнители, участники</t>
  </si>
  <si>
    <t>1.</t>
  </si>
  <si>
    <t>2.</t>
  </si>
  <si>
    <t>2.1.</t>
  </si>
  <si>
    <t>…</t>
  </si>
  <si>
    <t xml:space="preserve"> Срок выполнения</t>
  </si>
  <si>
    <t>2.2.</t>
  </si>
  <si>
    <t>Соисполнитель</t>
  </si>
  <si>
    <t>Заказчик-застройщик</t>
  </si>
  <si>
    <t xml:space="preserve">Проектная мощность </t>
  </si>
  <si>
    <t>№</t>
  </si>
  <si>
    <t xml:space="preserve"> Источник </t>
  </si>
  <si>
    <t>№ п/п</t>
  </si>
  <si>
    <t>Ед. изм.</t>
  </si>
  <si>
    <t>Факт</t>
  </si>
  <si>
    <t>План</t>
  </si>
  <si>
    <t>Источник данных</t>
  </si>
  <si>
    <t>2.1.1.</t>
  </si>
  <si>
    <t>2.1.2.</t>
  </si>
  <si>
    <t xml:space="preserve"> Ожидаемый конечный результат выполнения основного мероприятия</t>
  </si>
  <si>
    <t>I</t>
  </si>
  <si>
    <t>II</t>
  </si>
  <si>
    <t>Показатели целей подпрограммы:</t>
  </si>
  <si>
    <t>Подпрограмма, показатель</t>
  </si>
  <si>
    <t>Показатели задач подпрограммы:</t>
  </si>
  <si>
    <t xml:space="preserve">Соисполнитель 2 </t>
  </si>
  <si>
    <t>1.3.</t>
  </si>
  <si>
    <t>Подпрограмма, объект капитального строительства</t>
  </si>
  <si>
    <t xml:space="preserve"> Значение показателя объема услуги </t>
  </si>
  <si>
    <t>3.</t>
  </si>
  <si>
    <t xml:space="preserve">Показатель объема услуги </t>
  </si>
  <si>
    <t>Соисполнитель, ответственный за выполнение показателя</t>
  </si>
  <si>
    <t xml:space="preserve"> Срок строительства </t>
  </si>
  <si>
    <t>2.2.1.</t>
  </si>
  <si>
    <t>2.2.2.</t>
  </si>
  <si>
    <t>Наименование подпрограммы, основного мероприятия (ведомственной целевой программы), услуги (работы), показателя объема услуги (работы)</t>
  </si>
  <si>
    <t>Муниципальная программа, показатель</t>
  </si>
  <si>
    <t>Показатели целей муниципальной программы:</t>
  </si>
  <si>
    <t>Объемы финансирования муниципальной программы, рублей, копеек</t>
  </si>
  <si>
    <t>Подпрограмма, основное мероприятие, ведомственная целевая программа</t>
  </si>
  <si>
    <t xml:space="preserve"> Объемы и источники финансирования, рублей, копеек</t>
  </si>
  <si>
    <t>Прогноз сводных показателей муниципальных заданий на оказание муниципальных услуг, выполнение муниципальных работ</t>
  </si>
  <si>
    <t>план</t>
  </si>
  <si>
    <t>Объемы финансирования подпрограммы, рублей, копеек</t>
  </si>
  <si>
    <t>Объемы и источники финансирования (руб., коп.)</t>
  </si>
  <si>
    <t>Расходы местного бюджета на оказание муниципальной услуги, руб., коп.</t>
  </si>
  <si>
    <r>
      <t xml:space="preserve">Основное мероприятие 1.6. Предоставление общедоступного и бесплатного </t>
    </r>
    <r>
      <rPr>
        <b/>
        <sz val="8"/>
        <color indexed="8"/>
        <rFont val="Times New Roman"/>
        <family val="1"/>
      </rPr>
      <t>среднего</t>
    </r>
    <r>
      <rPr>
        <sz val="8"/>
        <color indexed="8"/>
        <rFont val="Times New Roman"/>
        <family val="1"/>
      </rPr>
      <t xml:space="preserve"> общего образования детям-инвалидам в соответствии с индивидуальной программой реабилитации инвалидов</t>
    </r>
  </si>
  <si>
    <t>Основное мероприятие 2.4. Предоставление дополнительного образования детям в муниципальных образовательных учреждениях</t>
  </si>
  <si>
    <t>Уровень обеспеченности населения ЗАТО Александровск местами в детских дошкольных учрежде-ниях ЗАТО Александровск.</t>
  </si>
  <si>
    <t>Создание условий для предоставления населению ЗАТО Александровск качественных услуг в сфере  дополнительного образования детей</t>
  </si>
  <si>
    <t>ГП МО 2014-86%, 2015-90,3%</t>
  </si>
  <si>
    <t>Предоставление общедоступного и бесплатного среднего общего и дополнительного образования по основным общеобразовательным программам в общеобразовательных учреждениях</t>
  </si>
  <si>
    <t>Предоставление общедоступного и бесплатного  начального общего образования детям-инвалидам в соответствии с индивидуальной программой реабилитации инвалида</t>
  </si>
  <si>
    <t>Предоставление общедоступного и бесплатного  основного общего образования детям-инвалидам в соответствии с индивидуальной программой реабилитации инвалида</t>
  </si>
  <si>
    <t>2014-2015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</si>
  <si>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</t>
  </si>
  <si>
    <t>Задача 2. Обеспечение безопасности работы образовательного учреждения и соответствия его современным требованиям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</si>
</sst>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0.0000"/>
    <numFmt numFmtId="171" formatCode="0.000"/>
    <numFmt numFmtId="172" formatCode="0.0"/>
    <numFmt numFmtId="173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2" fillId="0" borderId="11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1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42" applyFont="1" applyBorder="1" applyAlignment="1">
      <alignment horizontal="center" vertical="center" wrapText="1"/>
    </xf>
    <xf numFmtId="0" fontId="5" fillId="0" borderId="15" xfId="42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10" xfId="42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6" fillId="0" borderId="0" xfId="0" applyNumberFormat="1" applyFont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12" fillId="0" borderId="0" xfId="0" applyNumberFormat="1" applyFont="1" applyFill="1" applyAlignment="1">
      <alignment wrapText="1"/>
    </xf>
    <xf numFmtId="49" fontId="6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42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0" fillId="33" borderId="16" xfId="0" applyNumberFormat="1" applyFill="1" applyBorder="1" applyAlignment="1">
      <alignment horizontal="left" vertical="center" wrapText="1"/>
    </xf>
    <xf numFmtId="49" fontId="0" fillId="33" borderId="12" xfId="0" applyNumberForma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10"/>
  <sheetViews>
    <sheetView zoomScaleSheetLayoutView="115" zoomScalePageLayoutView="0" workbookViewId="0" topLeftCell="A1">
      <selection activeCell="E9" sqref="E9"/>
    </sheetView>
  </sheetViews>
  <sheetFormatPr defaultColWidth="9.140625" defaultRowHeight="15"/>
  <cols>
    <col min="1" max="1" width="6.421875" style="1" customWidth="1"/>
    <col min="2" max="2" width="33.28125" style="0" customWidth="1"/>
    <col min="4" max="4" width="8.8515625" style="0" customWidth="1"/>
    <col min="5" max="5" width="6.140625" style="0" customWidth="1"/>
    <col min="6" max="11" width="5.7109375" style="0" customWidth="1"/>
    <col min="12" max="12" width="18.140625" style="0" customWidth="1"/>
    <col min="13" max="13" width="24.57421875" style="0" customWidth="1"/>
  </cols>
  <sheetData>
    <row r="1" spans="1:13" ht="1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8" t="s">
        <v>119</v>
      </c>
      <c r="M1" s="118"/>
    </row>
    <row r="2" spans="1:13" ht="15">
      <c r="A2" s="112" t="s">
        <v>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0"/>
    </row>
    <row r="4" spans="1:13" ht="21" customHeight="1">
      <c r="A4" s="117" t="s">
        <v>410</v>
      </c>
      <c r="B4" s="117" t="s">
        <v>434</v>
      </c>
      <c r="C4" s="117" t="s">
        <v>411</v>
      </c>
      <c r="D4" s="117" t="s">
        <v>0</v>
      </c>
      <c r="E4" s="117"/>
      <c r="F4" s="117"/>
      <c r="G4" s="117"/>
      <c r="H4" s="117"/>
      <c r="I4" s="117"/>
      <c r="J4" s="117"/>
      <c r="K4" s="117"/>
      <c r="L4" s="113" t="s">
        <v>414</v>
      </c>
      <c r="M4" s="113" t="s">
        <v>429</v>
      </c>
    </row>
    <row r="5" spans="1:13" ht="25.5" customHeight="1">
      <c r="A5" s="117"/>
      <c r="B5" s="117"/>
      <c r="C5" s="117"/>
      <c r="D5" s="6">
        <v>2012</v>
      </c>
      <c r="E5" s="21">
        <v>2013</v>
      </c>
      <c r="F5" s="115">
        <v>2014</v>
      </c>
      <c r="G5" s="116"/>
      <c r="H5" s="115">
        <v>2015</v>
      </c>
      <c r="I5" s="116"/>
      <c r="J5" s="115">
        <v>2016</v>
      </c>
      <c r="K5" s="116"/>
      <c r="L5" s="114"/>
      <c r="M5" s="114"/>
    </row>
    <row r="6" spans="1:13" ht="15">
      <c r="A6" s="117"/>
      <c r="B6" s="113"/>
      <c r="C6" s="113"/>
      <c r="D6" s="9" t="s">
        <v>412</v>
      </c>
      <c r="E6" s="9" t="s">
        <v>413</v>
      </c>
      <c r="F6" s="9" t="s">
        <v>413</v>
      </c>
      <c r="G6" s="9" t="s">
        <v>412</v>
      </c>
      <c r="H6" s="9" t="s">
        <v>413</v>
      </c>
      <c r="I6" s="9" t="s">
        <v>412</v>
      </c>
      <c r="J6" s="9" t="s">
        <v>413</v>
      </c>
      <c r="K6" s="9" t="s">
        <v>412</v>
      </c>
      <c r="L6" s="114"/>
      <c r="M6" s="114"/>
    </row>
    <row r="7" spans="1:13" ht="21" customHeight="1">
      <c r="A7" s="6"/>
      <c r="B7" s="111" t="s">
        <v>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21" customHeight="1">
      <c r="A8" s="6" t="s">
        <v>418</v>
      </c>
      <c r="B8" s="111" t="s">
        <v>435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60" customHeight="1">
      <c r="A9" s="6" t="s">
        <v>396</v>
      </c>
      <c r="B9" s="24" t="s">
        <v>5</v>
      </c>
      <c r="C9" s="24" t="s">
        <v>2</v>
      </c>
      <c r="D9" s="24">
        <v>99.98</v>
      </c>
      <c r="E9" s="24">
        <v>99.99</v>
      </c>
      <c r="F9" s="24">
        <v>99.99</v>
      </c>
      <c r="G9" s="24"/>
      <c r="H9" s="24">
        <v>100</v>
      </c>
      <c r="I9" s="24"/>
      <c r="J9" s="24">
        <v>100</v>
      </c>
      <c r="K9" s="24"/>
      <c r="L9" s="19" t="s">
        <v>367</v>
      </c>
      <c r="M9" s="19"/>
    </row>
    <row r="10" spans="1:13" ht="102">
      <c r="A10" s="6" t="s">
        <v>397</v>
      </c>
      <c r="B10" s="7" t="s">
        <v>3</v>
      </c>
      <c r="C10" s="7" t="s">
        <v>2</v>
      </c>
      <c r="D10" s="7">
        <v>100</v>
      </c>
      <c r="E10" s="7">
        <v>100</v>
      </c>
      <c r="F10" s="7">
        <v>100</v>
      </c>
      <c r="G10" s="7"/>
      <c r="H10" s="7">
        <v>100</v>
      </c>
      <c r="I10" s="7"/>
      <c r="J10" s="7">
        <v>100</v>
      </c>
      <c r="K10" s="7"/>
      <c r="L10" s="7" t="s">
        <v>368</v>
      </c>
      <c r="M10" s="19"/>
    </row>
  </sheetData>
  <sheetProtection/>
  <mergeCells count="13">
    <mergeCell ref="D4:K4"/>
    <mergeCell ref="H5:I5"/>
    <mergeCell ref="L1:M1"/>
    <mergeCell ref="B8:M8"/>
    <mergeCell ref="B7:M7"/>
    <mergeCell ref="A2:L2"/>
    <mergeCell ref="M4:M6"/>
    <mergeCell ref="J5:K5"/>
    <mergeCell ref="L4:L6"/>
    <mergeCell ref="F5:G5"/>
    <mergeCell ref="A4:A6"/>
    <mergeCell ref="B4:B6"/>
    <mergeCell ref="C4:C6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0"/>
  <sheetViews>
    <sheetView zoomScalePageLayoutView="0" workbookViewId="0" topLeftCell="A18">
      <selection activeCell="B19" sqref="B19:J30"/>
    </sheetView>
  </sheetViews>
  <sheetFormatPr defaultColWidth="9.140625" defaultRowHeight="15"/>
  <cols>
    <col min="2" max="2" width="36.8515625" style="0" customWidth="1"/>
    <col min="3" max="3" width="12.7109375" style="0" customWidth="1"/>
    <col min="7" max="7" width="16.8515625" style="0" customWidth="1"/>
    <col min="8" max="8" width="14.00390625" style="0" customWidth="1"/>
    <col min="9" max="9" width="15.8515625" style="0" customWidth="1"/>
    <col min="10" max="10" width="15.00390625" style="0" customWidth="1"/>
    <col min="12" max="12" width="15.00390625" style="0" bestFit="1" customWidth="1"/>
    <col min="13" max="13" width="15.00390625" style="0" customWidth="1"/>
    <col min="14" max="14" width="16.8515625" style="0" customWidth="1"/>
  </cols>
  <sheetData>
    <row r="1" spans="1:10" ht="15.75">
      <c r="A1" s="11"/>
      <c r="B1" s="13"/>
      <c r="C1" s="13"/>
      <c r="D1" s="13"/>
      <c r="E1" s="13"/>
      <c r="F1" s="13"/>
      <c r="H1" s="11"/>
      <c r="I1" s="166" t="s">
        <v>92</v>
      </c>
      <c r="J1" s="166"/>
    </row>
    <row r="2" spans="1:10" ht="16.5" customHeight="1">
      <c r="A2" s="11"/>
      <c r="B2" s="13"/>
      <c r="C2" s="13"/>
      <c r="D2" s="13"/>
      <c r="E2" s="13"/>
      <c r="F2" s="12"/>
      <c r="G2" s="13"/>
      <c r="H2" s="13"/>
      <c r="I2" s="13"/>
      <c r="J2" s="11"/>
    </row>
    <row r="3" spans="1:10" ht="33" customHeight="1">
      <c r="A3" s="170" t="s">
        <v>439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18.75" customHeight="1">
      <c r="A4" s="11"/>
      <c r="B4" s="13"/>
      <c r="C4" s="13"/>
      <c r="D4" s="13"/>
      <c r="E4" s="13"/>
      <c r="F4" s="13"/>
      <c r="G4" s="13"/>
      <c r="H4" s="13"/>
      <c r="I4" s="13"/>
      <c r="J4" s="11"/>
    </row>
    <row r="5" spans="1:10" ht="35.25" customHeight="1">
      <c r="A5" s="167" t="s">
        <v>410</v>
      </c>
      <c r="B5" s="167" t="s">
        <v>433</v>
      </c>
      <c r="C5" s="167" t="s">
        <v>428</v>
      </c>
      <c r="D5" s="197" t="s">
        <v>426</v>
      </c>
      <c r="E5" s="197"/>
      <c r="F5" s="197"/>
      <c r="G5" s="197" t="s">
        <v>443</v>
      </c>
      <c r="H5" s="197"/>
      <c r="I5" s="197"/>
      <c r="J5" s="197" t="s">
        <v>405</v>
      </c>
    </row>
    <row r="6" spans="1:10" ht="52.5" customHeight="1">
      <c r="A6" s="168"/>
      <c r="B6" s="168"/>
      <c r="C6" s="168"/>
      <c r="D6" s="20" t="s">
        <v>385</v>
      </c>
      <c r="E6" s="20" t="s">
        <v>386</v>
      </c>
      <c r="F6" s="20" t="s">
        <v>387</v>
      </c>
      <c r="G6" s="20" t="s">
        <v>385</v>
      </c>
      <c r="H6" s="20" t="s">
        <v>386</v>
      </c>
      <c r="I6" s="20" t="s">
        <v>387</v>
      </c>
      <c r="J6" s="197"/>
    </row>
    <row r="7" spans="1:10" ht="15">
      <c r="A7" s="8"/>
      <c r="B7" s="194" t="s">
        <v>14</v>
      </c>
      <c r="C7" s="198"/>
      <c r="D7" s="198"/>
      <c r="E7" s="198"/>
      <c r="F7" s="198"/>
      <c r="G7" s="198"/>
      <c r="H7" s="198"/>
      <c r="I7" s="198"/>
      <c r="J7" s="199"/>
    </row>
    <row r="8" spans="1:10" ht="42.75" customHeight="1">
      <c r="A8" s="8" t="s">
        <v>399</v>
      </c>
      <c r="B8" s="194" t="s">
        <v>22</v>
      </c>
      <c r="C8" s="198"/>
      <c r="D8" s="198"/>
      <c r="E8" s="198"/>
      <c r="F8" s="198"/>
      <c r="G8" s="198"/>
      <c r="H8" s="198"/>
      <c r="I8" s="198"/>
      <c r="J8" s="199"/>
    </row>
    <row r="9" spans="1:14" ht="103.5" customHeight="1">
      <c r="A9" s="34" t="s">
        <v>396</v>
      </c>
      <c r="B9" s="26" t="s">
        <v>24</v>
      </c>
      <c r="C9" s="18" t="s">
        <v>48</v>
      </c>
      <c r="D9" s="101">
        <v>2198</v>
      </c>
      <c r="E9" s="18">
        <v>2154</v>
      </c>
      <c r="F9" s="18">
        <v>2158</v>
      </c>
      <c r="G9" s="100">
        <f>'ПР9 ОМ 2'!G20+99968803*0.4</f>
        <v>157331263</v>
      </c>
      <c r="H9" s="35">
        <f>'ПР9 ОМ 2'!G21+47665580</f>
        <v>182055920</v>
      </c>
      <c r="I9" s="35">
        <f>'ПР9 ОМ 2'!G22+47980286</f>
        <v>187477696</v>
      </c>
      <c r="J9" s="36"/>
      <c r="L9" s="47"/>
      <c r="M9" s="47"/>
      <c r="N9" s="47"/>
    </row>
    <row r="10" spans="1:14" ht="35.25" customHeight="1">
      <c r="A10" s="34" t="s">
        <v>400</v>
      </c>
      <c r="B10" s="194" t="s">
        <v>23</v>
      </c>
      <c r="C10" s="195"/>
      <c r="D10" s="195"/>
      <c r="E10" s="195"/>
      <c r="F10" s="195"/>
      <c r="G10" s="195"/>
      <c r="H10" s="195"/>
      <c r="I10" s="195"/>
      <c r="J10" s="196"/>
      <c r="L10" s="47"/>
      <c r="M10" s="47"/>
      <c r="N10" s="47"/>
    </row>
    <row r="11" spans="1:10" ht="100.5" customHeight="1">
      <c r="A11" s="34" t="s">
        <v>401</v>
      </c>
      <c r="B11" s="26" t="s">
        <v>25</v>
      </c>
      <c r="C11" s="18" t="s">
        <v>48</v>
      </c>
      <c r="D11" s="101">
        <v>2190</v>
      </c>
      <c r="E11" s="18">
        <v>2311</v>
      </c>
      <c r="F11" s="18">
        <v>2473</v>
      </c>
      <c r="G11" s="100">
        <f>'ПР9 ОМ 2'!G24+99968803*0.47</f>
        <v>184499736.71</v>
      </c>
      <c r="H11" s="35">
        <f>'ПР9 ОМ 2'!G25+48385770</f>
        <v>184790928</v>
      </c>
      <c r="I11" s="35">
        <f>'ПР9 ОМ 2'!G26+52972656</f>
        <v>206998879</v>
      </c>
      <c r="J11" s="36"/>
    </row>
    <row r="12" spans="1:10" ht="49.5" customHeight="1">
      <c r="A12" s="8" t="s">
        <v>427</v>
      </c>
      <c r="B12" s="194" t="s">
        <v>26</v>
      </c>
      <c r="C12" s="195"/>
      <c r="D12" s="195"/>
      <c r="E12" s="195"/>
      <c r="F12" s="195"/>
      <c r="G12" s="195"/>
      <c r="H12" s="195"/>
      <c r="I12" s="195"/>
      <c r="J12" s="196"/>
    </row>
    <row r="13" spans="1:10" ht="90">
      <c r="A13" s="8" t="s">
        <v>46</v>
      </c>
      <c r="B13" s="104" t="s">
        <v>449</v>
      </c>
      <c r="C13" s="72" t="s">
        <v>48</v>
      </c>
      <c r="D13" s="72">
        <v>706</v>
      </c>
      <c r="E13" s="72">
        <v>715</v>
      </c>
      <c r="F13" s="72">
        <v>715</v>
      </c>
      <c r="G13" s="38">
        <f>'ПР9 ОМ 2'!G28+99968803*0.13</f>
        <v>52458523.29</v>
      </c>
      <c r="H13" s="38">
        <f>'ПР9 ОМ 2'!G29+14747302</f>
        <v>56309004</v>
      </c>
      <c r="I13" s="38">
        <f>'ПР9 ОМ 2'!G30+15419326</f>
        <v>60229836</v>
      </c>
      <c r="J13" s="90"/>
    </row>
    <row r="14" spans="1:10" s="50" customFormat="1" ht="35.25" customHeight="1">
      <c r="A14" s="69" t="s">
        <v>153</v>
      </c>
      <c r="B14" s="173" t="s">
        <v>27</v>
      </c>
      <c r="C14" s="174"/>
      <c r="D14" s="174"/>
      <c r="E14" s="174"/>
      <c r="F14" s="174"/>
      <c r="G14" s="174"/>
      <c r="H14" s="174"/>
      <c r="I14" s="174"/>
      <c r="J14" s="175"/>
    </row>
    <row r="15" spans="1:10" ht="71.25" customHeight="1">
      <c r="A15" s="34" t="s">
        <v>134</v>
      </c>
      <c r="B15" s="104" t="s">
        <v>450</v>
      </c>
      <c r="C15" s="72" t="s">
        <v>48</v>
      </c>
      <c r="D15" s="72">
        <v>16</v>
      </c>
      <c r="E15" s="72">
        <v>8</v>
      </c>
      <c r="F15" s="72">
        <v>6</v>
      </c>
      <c r="G15" s="38">
        <f>'ПР9 ОМ 2'!G36</f>
        <v>4583344</v>
      </c>
      <c r="H15" s="38">
        <f>'ПР9 ОМ 2'!G37</f>
        <v>1550022</v>
      </c>
      <c r="I15" s="38">
        <f>'ПР9 ОМ 2'!G38</f>
        <v>1413726</v>
      </c>
      <c r="J15" s="90"/>
    </row>
    <row r="16" spans="1:10" ht="42.75" customHeight="1">
      <c r="A16" s="34" t="s">
        <v>135</v>
      </c>
      <c r="B16" s="173" t="s">
        <v>28</v>
      </c>
      <c r="C16" s="174"/>
      <c r="D16" s="174"/>
      <c r="E16" s="174"/>
      <c r="F16" s="174"/>
      <c r="G16" s="174"/>
      <c r="H16" s="174"/>
      <c r="I16" s="174"/>
      <c r="J16" s="175"/>
    </row>
    <row r="17" spans="1:10" ht="87" customHeight="1">
      <c r="A17" s="34" t="s">
        <v>136</v>
      </c>
      <c r="B17" s="104" t="s">
        <v>451</v>
      </c>
      <c r="C17" s="72" t="s">
        <v>48</v>
      </c>
      <c r="D17" s="72">
        <v>18</v>
      </c>
      <c r="E17" s="72">
        <v>15</v>
      </c>
      <c r="F17" s="72">
        <v>28</v>
      </c>
      <c r="G17" s="38">
        <f>'ПР9 ОМ 2'!G40</f>
        <v>5476997</v>
      </c>
      <c r="H17" s="38">
        <f>'ПР9 ОМ 2'!G41</f>
        <v>2906295</v>
      </c>
      <c r="I17" s="38">
        <f>'ПР9 ОМ 2'!G42</f>
        <v>6597391</v>
      </c>
      <c r="J17" s="90"/>
    </row>
    <row r="18" spans="1:10" ht="42.75" customHeight="1">
      <c r="A18" s="34" t="s">
        <v>137</v>
      </c>
      <c r="B18" s="194" t="s">
        <v>28</v>
      </c>
      <c r="C18" s="198"/>
      <c r="D18" s="198"/>
      <c r="E18" s="198"/>
      <c r="F18" s="198"/>
      <c r="G18" s="198"/>
      <c r="H18" s="198"/>
      <c r="I18" s="198"/>
      <c r="J18" s="199"/>
    </row>
    <row r="19" spans="1:10" ht="78" customHeight="1">
      <c r="A19" s="34" t="s">
        <v>138</v>
      </c>
      <c r="B19" s="104" t="s">
        <v>29</v>
      </c>
      <c r="C19" s="72" t="s">
        <v>48</v>
      </c>
      <c r="D19" s="72">
        <v>1</v>
      </c>
      <c r="E19" s="72">
        <v>0</v>
      </c>
      <c r="F19" s="72">
        <v>0</v>
      </c>
      <c r="G19" s="38">
        <f>'ПР9 ОМ 2'!G44</f>
        <v>286459</v>
      </c>
      <c r="H19" s="38">
        <v>0</v>
      </c>
      <c r="I19" s="38">
        <v>0</v>
      </c>
      <c r="J19" s="90"/>
    </row>
    <row r="20" spans="1:10" ht="25.5" customHeight="1">
      <c r="A20" s="34" t="s">
        <v>139</v>
      </c>
      <c r="B20" s="173" t="s">
        <v>296</v>
      </c>
      <c r="C20" s="174"/>
      <c r="D20" s="174"/>
      <c r="E20" s="174"/>
      <c r="F20" s="174"/>
      <c r="G20" s="174"/>
      <c r="H20" s="174"/>
      <c r="I20" s="174"/>
      <c r="J20" s="175"/>
    </row>
    <row r="21" spans="1:10" ht="69" customHeight="1">
      <c r="A21" s="34" t="s">
        <v>140</v>
      </c>
      <c r="B21" s="104" t="s">
        <v>141</v>
      </c>
      <c r="C21" s="72" t="s">
        <v>48</v>
      </c>
      <c r="D21" s="72">
        <v>7652</v>
      </c>
      <c r="E21" s="72">
        <v>7672</v>
      </c>
      <c r="F21" s="72">
        <v>7672</v>
      </c>
      <c r="G21" s="38">
        <f>'ПР9 ОМ 2'!F64+'ПР9 ОМ 2'!F68</f>
        <v>178110187.97</v>
      </c>
      <c r="H21" s="38">
        <f>'ПР9 ОМ 2'!F65+'ПР9 ОМ 2'!F69</f>
        <v>183095286</v>
      </c>
      <c r="I21" s="38">
        <f>'ПР9 ОМ 2'!F66+'ПР9 ОМ 2'!F70</f>
        <v>187458920</v>
      </c>
      <c r="J21" s="90"/>
    </row>
    <row r="22" spans="1:10" ht="27.75" customHeight="1">
      <c r="A22" s="34" t="s">
        <v>142</v>
      </c>
      <c r="B22" s="173" t="s">
        <v>445</v>
      </c>
      <c r="C22" s="174"/>
      <c r="D22" s="174"/>
      <c r="E22" s="174"/>
      <c r="F22" s="174"/>
      <c r="G22" s="174"/>
      <c r="H22" s="174"/>
      <c r="I22" s="174"/>
      <c r="J22" s="175"/>
    </row>
    <row r="23" spans="1:10" ht="87.75" customHeight="1">
      <c r="A23" s="34" t="s">
        <v>143</v>
      </c>
      <c r="B23" s="104" t="s">
        <v>141</v>
      </c>
      <c r="C23" s="72" t="s">
        <v>48</v>
      </c>
      <c r="D23" s="72">
        <v>220</v>
      </c>
      <c r="E23" s="72">
        <v>220</v>
      </c>
      <c r="F23" s="72">
        <v>240</v>
      </c>
      <c r="G23" s="38">
        <f>'ПР9 ОМ 2'!F76+'ПР9 ОМ 2'!F80</f>
        <v>8027246</v>
      </c>
      <c r="H23" s="38">
        <f>'ПР9 ОМ 2'!F77+'ПР9 ОМ 2'!F81</f>
        <v>8256676</v>
      </c>
      <c r="I23" s="38">
        <f>'ПР9 ОМ 2'!F78+'ПР9 ОМ 2'!F82</f>
        <v>8497117</v>
      </c>
      <c r="J23" s="90"/>
    </row>
    <row r="24" spans="2:10" ht="15">
      <c r="B24" s="50"/>
      <c r="C24" s="50"/>
      <c r="D24" s="50"/>
      <c r="E24" s="50"/>
      <c r="F24" s="50"/>
      <c r="G24" s="50"/>
      <c r="H24" s="50"/>
      <c r="I24" s="50"/>
      <c r="J24" s="50"/>
    </row>
    <row r="25" spans="2:10" ht="15">
      <c r="B25" s="50"/>
      <c r="C25" s="50"/>
      <c r="D25" s="50"/>
      <c r="E25" s="50"/>
      <c r="F25" s="50"/>
      <c r="G25" s="50"/>
      <c r="H25" s="50"/>
      <c r="I25" s="50"/>
      <c r="J25" s="50"/>
    </row>
    <row r="26" spans="2:10" ht="1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15">
      <c r="B27" s="50"/>
      <c r="C27" s="50"/>
      <c r="D27" s="50"/>
      <c r="E27" s="50"/>
      <c r="F27" s="50"/>
      <c r="G27" s="50"/>
      <c r="H27" s="50"/>
      <c r="I27" s="50"/>
      <c r="J27" s="50"/>
    </row>
    <row r="28" spans="2:10" ht="15">
      <c r="B28" s="50"/>
      <c r="C28" s="50"/>
      <c r="D28" s="50"/>
      <c r="E28" s="50"/>
      <c r="F28" s="50"/>
      <c r="G28" s="50"/>
      <c r="H28" s="50"/>
      <c r="I28" s="50"/>
      <c r="J28" s="50"/>
    </row>
    <row r="29" spans="2:10" ht="15">
      <c r="B29" s="50"/>
      <c r="C29" s="50"/>
      <c r="D29" s="50"/>
      <c r="E29" s="50"/>
      <c r="F29" s="50"/>
      <c r="G29" s="50"/>
      <c r="H29" s="50"/>
      <c r="I29" s="50"/>
      <c r="J29" s="50"/>
    </row>
    <row r="30" spans="2:10" ht="15">
      <c r="B30" s="50"/>
      <c r="C30" s="50"/>
      <c r="D30" s="50"/>
      <c r="E30" s="50"/>
      <c r="F30" s="50"/>
      <c r="G30" s="50"/>
      <c r="H30" s="50"/>
      <c r="I30" s="50"/>
      <c r="J30" s="50"/>
    </row>
  </sheetData>
  <sheetProtection/>
  <mergeCells count="17">
    <mergeCell ref="D5:F5"/>
    <mergeCell ref="B12:J12"/>
    <mergeCell ref="B14:J14"/>
    <mergeCell ref="B22:J22"/>
    <mergeCell ref="B18:J18"/>
    <mergeCell ref="B20:J20"/>
    <mergeCell ref="B16:J16"/>
    <mergeCell ref="A3:J3"/>
    <mergeCell ref="I1:J1"/>
    <mergeCell ref="A5:A6"/>
    <mergeCell ref="B10:J10"/>
    <mergeCell ref="G5:I5"/>
    <mergeCell ref="J5:J6"/>
    <mergeCell ref="B7:J7"/>
    <mergeCell ref="B8:J8"/>
    <mergeCell ref="B5:B6"/>
    <mergeCell ref="C5:C6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X26"/>
  <sheetViews>
    <sheetView zoomScalePageLayoutView="0" workbookViewId="0" topLeftCell="A19">
      <selection activeCell="F9" sqref="F9"/>
    </sheetView>
  </sheetViews>
  <sheetFormatPr defaultColWidth="9.140625" defaultRowHeight="15"/>
  <cols>
    <col min="1" max="1" width="9.140625" style="50" customWidth="1"/>
    <col min="2" max="2" width="36.140625" style="50" customWidth="1"/>
    <col min="3" max="12" width="9.140625" style="50" customWidth="1"/>
    <col min="13" max="22" width="0" style="50" hidden="1" customWidth="1"/>
    <col min="23" max="23" width="16.421875" style="50" customWidth="1"/>
    <col min="24" max="24" width="21.00390625" style="50" customWidth="1"/>
    <col min="25" max="16384" width="9.140625" style="50" customWidth="1"/>
  </cols>
  <sheetData>
    <row r="1" spans="1:24" ht="15.7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 t="s">
        <v>144</v>
      </c>
      <c r="V1" s="56"/>
      <c r="W1" s="176" t="s">
        <v>144</v>
      </c>
      <c r="X1" s="177"/>
    </row>
    <row r="2" spans="1:24" ht="15">
      <c r="A2" s="136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55"/>
    </row>
    <row r="3" ht="15">
      <c r="A3" s="59"/>
    </row>
    <row r="4" spans="1:24" ht="15">
      <c r="A4" s="128" t="s">
        <v>410</v>
      </c>
      <c r="B4" s="128" t="s">
        <v>421</v>
      </c>
      <c r="C4" s="128" t="s">
        <v>411</v>
      </c>
      <c r="D4" s="128" t="s">
        <v>0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5" t="s">
        <v>414</v>
      </c>
      <c r="X4" s="128" t="s">
        <v>429</v>
      </c>
    </row>
    <row r="5" spans="1:24" ht="15">
      <c r="A5" s="128"/>
      <c r="B5" s="128"/>
      <c r="C5" s="128"/>
      <c r="D5" s="49">
        <v>2012</v>
      </c>
      <c r="E5" s="137">
        <v>2013</v>
      </c>
      <c r="F5" s="138"/>
      <c r="G5" s="131">
        <v>2014</v>
      </c>
      <c r="H5" s="131"/>
      <c r="I5" s="131">
        <v>2015</v>
      </c>
      <c r="J5" s="131"/>
      <c r="K5" s="131">
        <v>2016</v>
      </c>
      <c r="L5" s="131"/>
      <c r="M5" s="131">
        <v>2017</v>
      </c>
      <c r="N5" s="131"/>
      <c r="O5" s="131">
        <v>2018</v>
      </c>
      <c r="P5" s="131"/>
      <c r="Q5" s="131">
        <v>2019</v>
      </c>
      <c r="R5" s="131"/>
      <c r="S5" s="131">
        <v>2020</v>
      </c>
      <c r="T5" s="131"/>
      <c r="U5" s="131" t="s">
        <v>402</v>
      </c>
      <c r="V5" s="131"/>
      <c r="W5" s="126"/>
      <c r="X5" s="128"/>
    </row>
    <row r="6" spans="1:24" ht="15">
      <c r="A6" s="128"/>
      <c r="B6" s="128"/>
      <c r="C6" s="128"/>
      <c r="D6" s="49" t="s">
        <v>412</v>
      </c>
      <c r="E6" s="49" t="s">
        <v>413</v>
      </c>
      <c r="F6" s="49" t="s">
        <v>412</v>
      </c>
      <c r="G6" s="49" t="s">
        <v>413</v>
      </c>
      <c r="H6" s="49" t="s">
        <v>412</v>
      </c>
      <c r="I6" s="49" t="s">
        <v>413</v>
      </c>
      <c r="J6" s="49" t="s">
        <v>412</v>
      </c>
      <c r="K6" s="49" t="s">
        <v>413</v>
      </c>
      <c r="L6" s="49" t="s">
        <v>412</v>
      </c>
      <c r="M6" s="49" t="s">
        <v>413</v>
      </c>
      <c r="N6" s="49" t="s">
        <v>412</v>
      </c>
      <c r="O6" s="49" t="s">
        <v>413</v>
      </c>
      <c r="P6" s="49" t="s">
        <v>412</v>
      </c>
      <c r="Q6" s="49" t="s">
        <v>413</v>
      </c>
      <c r="R6" s="49" t="s">
        <v>412</v>
      </c>
      <c r="S6" s="49" t="s">
        <v>413</v>
      </c>
      <c r="T6" s="49" t="s">
        <v>412</v>
      </c>
      <c r="U6" s="49" t="s">
        <v>413</v>
      </c>
      <c r="V6" s="49" t="s">
        <v>412</v>
      </c>
      <c r="W6" s="127"/>
      <c r="X6" s="128"/>
    </row>
    <row r="7" spans="1:24" ht="24.75" customHeight="1">
      <c r="A7" s="49"/>
      <c r="B7" s="133" t="s">
        <v>145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26.25" customHeight="1">
      <c r="A8" s="49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4" ht="123" customHeight="1">
      <c r="A9" s="49" t="s">
        <v>396</v>
      </c>
      <c r="B9" s="40" t="s">
        <v>215</v>
      </c>
      <c r="C9" s="49" t="s">
        <v>2</v>
      </c>
      <c r="D9" s="40">
        <v>100</v>
      </c>
      <c r="E9" s="40">
        <v>40</v>
      </c>
      <c r="F9" s="40"/>
      <c r="G9" s="40">
        <v>90</v>
      </c>
      <c r="H9" s="40"/>
      <c r="I9" s="40">
        <v>100</v>
      </c>
      <c r="J9" s="40"/>
      <c r="K9" s="40">
        <v>100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368</v>
      </c>
      <c r="X9" s="40"/>
    </row>
    <row r="10" spans="1:24" ht="76.5" customHeight="1">
      <c r="A10" s="49" t="s">
        <v>397</v>
      </c>
      <c r="B10" s="40" t="s">
        <v>33</v>
      </c>
      <c r="C10" s="49" t="s">
        <v>94</v>
      </c>
      <c r="D10" s="40">
        <v>0</v>
      </c>
      <c r="E10" s="40">
        <v>1</v>
      </c>
      <c r="F10" s="40"/>
      <c r="G10" s="40">
        <v>1</v>
      </c>
      <c r="H10" s="40"/>
      <c r="I10" s="40">
        <v>1</v>
      </c>
      <c r="J10" s="40"/>
      <c r="K10" s="40">
        <v>1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368</v>
      </c>
      <c r="X10" s="40"/>
    </row>
    <row r="11" spans="1:24" ht="78" customHeight="1">
      <c r="A11" s="49" t="s">
        <v>424</v>
      </c>
      <c r="B11" s="40" t="s">
        <v>34</v>
      </c>
      <c r="C11" s="49" t="s">
        <v>2</v>
      </c>
      <c r="D11" s="40">
        <v>0</v>
      </c>
      <c r="E11" s="40">
        <v>100</v>
      </c>
      <c r="F11" s="40"/>
      <c r="G11" s="40">
        <v>100</v>
      </c>
      <c r="H11" s="40"/>
      <c r="I11" s="40">
        <v>100</v>
      </c>
      <c r="J11" s="40"/>
      <c r="K11" s="40">
        <v>100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368</v>
      </c>
      <c r="X11" s="40"/>
    </row>
    <row r="12" spans="1:24" ht="15">
      <c r="A12" s="49" t="s">
        <v>419</v>
      </c>
      <c r="B12" s="133" t="s">
        <v>422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</row>
    <row r="13" spans="1:24" ht="27.75" customHeight="1">
      <c r="A13" s="49" t="s">
        <v>401</v>
      </c>
      <c r="B13" s="132" t="s">
        <v>95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89.25">
      <c r="A14" s="49" t="s">
        <v>415</v>
      </c>
      <c r="B14" s="25" t="s">
        <v>96</v>
      </c>
      <c r="C14" s="49" t="s">
        <v>2</v>
      </c>
      <c r="D14" s="25">
        <v>97</v>
      </c>
      <c r="E14" s="25">
        <v>98.6</v>
      </c>
      <c r="F14" s="25"/>
      <c r="G14" s="25">
        <v>100</v>
      </c>
      <c r="H14" s="25"/>
      <c r="I14" s="25">
        <v>100</v>
      </c>
      <c r="J14" s="25"/>
      <c r="K14" s="25">
        <v>100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0" t="s">
        <v>243</v>
      </c>
      <c r="X14" s="40"/>
    </row>
    <row r="15" spans="1:24" ht="102">
      <c r="A15" s="49" t="s">
        <v>416</v>
      </c>
      <c r="B15" s="25" t="s">
        <v>97</v>
      </c>
      <c r="C15" s="49" t="s">
        <v>2</v>
      </c>
      <c r="D15" s="25">
        <v>100</v>
      </c>
      <c r="E15" s="25">
        <v>100</v>
      </c>
      <c r="F15" s="25"/>
      <c r="G15" s="25">
        <v>100</v>
      </c>
      <c r="H15" s="25"/>
      <c r="I15" s="25">
        <v>100</v>
      </c>
      <c r="J15" s="25"/>
      <c r="K15" s="25">
        <v>100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243</v>
      </c>
      <c r="X15" s="40"/>
    </row>
    <row r="16" spans="1:24" ht="32.25" customHeight="1">
      <c r="A16" s="49" t="s">
        <v>404</v>
      </c>
      <c r="B16" s="132" t="s">
        <v>98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1:24" ht="76.5" customHeight="1">
      <c r="A17" s="49" t="s">
        <v>431</v>
      </c>
      <c r="B17" s="25" t="s">
        <v>99</v>
      </c>
      <c r="C17" s="49" t="s">
        <v>2</v>
      </c>
      <c r="D17" s="40">
        <v>100</v>
      </c>
      <c r="E17" s="40">
        <v>100</v>
      </c>
      <c r="F17" s="40"/>
      <c r="G17" s="40">
        <v>100</v>
      </c>
      <c r="H17" s="40"/>
      <c r="I17" s="40">
        <v>100</v>
      </c>
      <c r="J17" s="40"/>
      <c r="K17" s="40">
        <v>100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368</v>
      </c>
      <c r="X17" s="40"/>
    </row>
    <row r="18" spans="1:24" ht="84" customHeight="1">
      <c r="A18" s="49" t="s">
        <v>432</v>
      </c>
      <c r="B18" s="25" t="s">
        <v>129</v>
      </c>
      <c r="C18" s="49" t="s">
        <v>2</v>
      </c>
      <c r="D18" s="40">
        <v>91.7</v>
      </c>
      <c r="E18" s="40">
        <v>92</v>
      </c>
      <c r="F18" s="40"/>
      <c r="G18" s="40">
        <v>93</v>
      </c>
      <c r="H18" s="40"/>
      <c r="I18" s="40">
        <v>94</v>
      </c>
      <c r="J18" s="40"/>
      <c r="K18" s="40">
        <v>95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 t="s">
        <v>368</v>
      </c>
      <c r="X18" s="40"/>
    </row>
    <row r="19" spans="1:24" ht="27.75" customHeight="1">
      <c r="A19" s="49" t="s">
        <v>146</v>
      </c>
      <c r="B19" s="132" t="s">
        <v>169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ht="77.25" customHeight="1">
      <c r="A20" s="49" t="s">
        <v>147</v>
      </c>
      <c r="B20" s="25" t="s">
        <v>173</v>
      </c>
      <c r="C20" s="49" t="s">
        <v>94</v>
      </c>
      <c r="D20" s="25">
        <v>1</v>
      </c>
      <c r="E20" s="25">
        <v>1</v>
      </c>
      <c r="F20" s="25"/>
      <c r="G20" s="25">
        <v>1</v>
      </c>
      <c r="H20" s="25"/>
      <c r="I20" s="25">
        <v>1</v>
      </c>
      <c r="J20" s="25"/>
      <c r="K20" s="25">
        <v>1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40" t="s">
        <v>368</v>
      </c>
      <c r="X20" s="40"/>
    </row>
    <row r="21" spans="1:24" ht="34.5" customHeight="1">
      <c r="A21" s="49" t="s">
        <v>148</v>
      </c>
      <c r="B21" s="132" t="s">
        <v>167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72" customHeight="1">
      <c r="A22" s="73" t="s">
        <v>149</v>
      </c>
      <c r="B22" s="25" t="s">
        <v>170</v>
      </c>
      <c r="C22" s="49" t="s">
        <v>2</v>
      </c>
      <c r="D22" s="40">
        <v>100</v>
      </c>
      <c r="E22" s="40">
        <v>100</v>
      </c>
      <c r="F22" s="40"/>
      <c r="G22" s="40">
        <v>100</v>
      </c>
      <c r="H22" s="40"/>
      <c r="I22" s="40">
        <v>100</v>
      </c>
      <c r="J22" s="40"/>
      <c r="K22" s="40">
        <v>100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 t="s">
        <v>368</v>
      </c>
      <c r="X22" s="40"/>
    </row>
    <row r="23" spans="1:24" ht="62.25" customHeight="1">
      <c r="A23" s="73" t="s">
        <v>130</v>
      </c>
      <c r="B23" s="25" t="s">
        <v>131</v>
      </c>
      <c r="C23" s="49" t="s">
        <v>2</v>
      </c>
      <c r="D23" s="40">
        <v>99</v>
      </c>
      <c r="E23" s="40">
        <v>100</v>
      </c>
      <c r="F23" s="40"/>
      <c r="G23" s="40">
        <v>100</v>
      </c>
      <c r="H23" s="40"/>
      <c r="I23" s="40">
        <v>100</v>
      </c>
      <c r="J23" s="40"/>
      <c r="K23" s="40">
        <v>100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 t="s">
        <v>368</v>
      </c>
      <c r="X23" s="40"/>
    </row>
    <row r="24" spans="1:24" ht="51">
      <c r="A24" s="49" t="s">
        <v>168</v>
      </c>
      <c r="B24" s="40" t="s">
        <v>132</v>
      </c>
      <c r="C24" s="40" t="s">
        <v>94</v>
      </c>
      <c r="D24" s="40">
        <v>0</v>
      </c>
      <c r="E24" s="40">
        <v>1</v>
      </c>
      <c r="F24" s="40"/>
      <c r="G24" s="40">
        <v>1</v>
      </c>
      <c r="H24" s="40"/>
      <c r="I24" s="40">
        <v>1</v>
      </c>
      <c r="J24" s="40"/>
      <c r="K24" s="40">
        <v>1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 t="s">
        <v>368</v>
      </c>
      <c r="X24" s="40"/>
    </row>
    <row r="25" ht="15">
      <c r="A25" s="59"/>
    </row>
    <row r="26" spans="2:23" ht="42" customHeight="1">
      <c r="B26" s="200" t="s">
        <v>216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</row>
  </sheetData>
  <sheetProtection/>
  <mergeCells count="25">
    <mergeCell ref="W1:X1"/>
    <mergeCell ref="A2:W2"/>
    <mergeCell ref="A4:A6"/>
    <mergeCell ref="B4:B6"/>
    <mergeCell ref="C4:C6"/>
    <mergeCell ref="D4:V4"/>
    <mergeCell ref="W4:W6"/>
    <mergeCell ref="X4:X6"/>
    <mergeCell ref="E5:F5"/>
    <mergeCell ref="G5:H5"/>
    <mergeCell ref="Q5:R5"/>
    <mergeCell ref="S5:T5"/>
    <mergeCell ref="U5:V5"/>
    <mergeCell ref="B7:X7"/>
    <mergeCell ref="I5:J5"/>
    <mergeCell ref="K5:L5"/>
    <mergeCell ref="M5:N5"/>
    <mergeCell ref="O5:P5"/>
    <mergeCell ref="B26:W26"/>
    <mergeCell ref="B21:X21"/>
    <mergeCell ref="B8:X8"/>
    <mergeCell ref="B12:X12"/>
    <mergeCell ref="B19:X19"/>
    <mergeCell ref="B13:X13"/>
    <mergeCell ref="B16:X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17"/>
  <sheetViews>
    <sheetView zoomScalePageLayoutView="0" workbookViewId="0" topLeftCell="A1">
      <selection activeCell="D7" sqref="D7:F17"/>
    </sheetView>
  </sheetViews>
  <sheetFormatPr defaultColWidth="9.140625" defaultRowHeight="15"/>
  <cols>
    <col min="1" max="1" width="30.140625" style="0" customWidth="1"/>
    <col min="2" max="2" width="13.421875" style="0" customWidth="1"/>
    <col min="3" max="3" width="17.28125" style="0" customWidth="1"/>
    <col min="4" max="4" width="13.28125" style="0" customWidth="1"/>
    <col min="5" max="5" width="13.8515625" style="0" customWidth="1"/>
    <col min="6" max="6" width="16.28125" style="0" customWidth="1"/>
  </cols>
  <sheetData>
    <row r="1" spans="5:6" ht="15.75">
      <c r="E1" s="201" t="s">
        <v>151</v>
      </c>
      <c r="F1" s="201"/>
    </row>
    <row r="3" spans="1:6" ht="26.25" customHeight="1">
      <c r="A3" s="148" t="s">
        <v>133</v>
      </c>
      <c r="B3" s="148"/>
      <c r="C3" s="148"/>
      <c r="D3" s="148"/>
      <c r="E3" s="148"/>
      <c r="F3" s="148"/>
    </row>
    <row r="5" spans="1:6" ht="39.75" customHeight="1">
      <c r="A5" s="144"/>
      <c r="B5" s="141"/>
      <c r="C5" s="202" t="s">
        <v>441</v>
      </c>
      <c r="D5" s="203"/>
      <c r="E5" s="203"/>
      <c r="F5" s="204"/>
    </row>
    <row r="6" spans="1:6" ht="15">
      <c r="A6" s="145"/>
      <c r="B6" s="142"/>
      <c r="C6" s="23" t="s">
        <v>395</v>
      </c>
      <c r="D6" s="23">
        <v>2014</v>
      </c>
      <c r="E6" s="23">
        <v>2015</v>
      </c>
      <c r="F6" s="4">
        <v>2016</v>
      </c>
    </row>
    <row r="7" spans="1:6" ht="59.25" customHeight="1">
      <c r="A7" s="146"/>
      <c r="B7" s="143"/>
      <c r="C7" s="22" t="s">
        <v>440</v>
      </c>
      <c r="D7" s="83" t="s">
        <v>440</v>
      </c>
      <c r="E7" s="83" t="s">
        <v>440</v>
      </c>
      <c r="F7" s="83" t="s">
        <v>440</v>
      </c>
    </row>
    <row r="8" spans="1:6" ht="15">
      <c r="A8" s="140" t="s">
        <v>15</v>
      </c>
      <c r="B8" s="5" t="s">
        <v>395</v>
      </c>
      <c r="C8" s="28">
        <f>SUM(C9:C12)</f>
        <v>125031701</v>
      </c>
      <c r="D8" s="110">
        <f>SUM(D9:D12)</f>
        <v>41283113</v>
      </c>
      <c r="E8" s="110">
        <f>SUM(E9:E12)</f>
        <v>41490344</v>
      </c>
      <c r="F8" s="110">
        <f>SUM(F9:F12)</f>
        <v>42258244</v>
      </c>
    </row>
    <row r="9" spans="1:6" ht="15">
      <c r="A9" s="140"/>
      <c r="B9" s="3" t="s">
        <v>393</v>
      </c>
      <c r="C9" s="29">
        <f>SUM(D9:F9)</f>
        <v>37289001</v>
      </c>
      <c r="D9" s="88">
        <f aca="true" t="shared" si="0" ref="D9:F10">D14</f>
        <v>12523313</v>
      </c>
      <c r="E9" s="88">
        <f t="shared" si="0"/>
        <v>12382844</v>
      </c>
      <c r="F9" s="88">
        <f t="shared" si="0"/>
        <v>12382844</v>
      </c>
    </row>
    <row r="10" spans="1:6" ht="15">
      <c r="A10" s="140"/>
      <c r="B10" s="3" t="s">
        <v>391</v>
      </c>
      <c r="C10" s="29">
        <f>SUM(D10:F10)</f>
        <v>87742700</v>
      </c>
      <c r="D10" s="88">
        <f t="shared" si="0"/>
        <v>28759800</v>
      </c>
      <c r="E10" s="88">
        <f t="shared" si="0"/>
        <v>29107500</v>
      </c>
      <c r="F10" s="88">
        <f t="shared" si="0"/>
        <v>29875400</v>
      </c>
    </row>
    <row r="11" spans="1:6" ht="15">
      <c r="A11" s="140"/>
      <c r="B11" s="3" t="s">
        <v>392</v>
      </c>
      <c r="C11" s="29">
        <f>SUM(D11:F11)</f>
        <v>0</v>
      </c>
      <c r="D11" s="88">
        <f aca="true" t="shared" si="1" ref="D11:F12">D16</f>
        <v>0</v>
      </c>
      <c r="E11" s="88">
        <f t="shared" si="1"/>
        <v>0</v>
      </c>
      <c r="F11" s="88">
        <f t="shared" si="1"/>
        <v>0</v>
      </c>
    </row>
    <row r="12" spans="1:6" ht="31.5" customHeight="1">
      <c r="A12" s="140"/>
      <c r="B12" s="3" t="s">
        <v>394</v>
      </c>
      <c r="C12" s="29">
        <f>SUM(D12:F12)</f>
        <v>0</v>
      </c>
      <c r="D12" s="88">
        <f t="shared" si="1"/>
        <v>0</v>
      </c>
      <c r="E12" s="88">
        <f t="shared" si="1"/>
        <v>0</v>
      </c>
      <c r="F12" s="88">
        <f t="shared" si="1"/>
        <v>0</v>
      </c>
    </row>
    <row r="13" spans="1:6" ht="15">
      <c r="A13" s="140" t="s">
        <v>11</v>
      </c>
      <c r="B13" s="5" t="s">
        <v>395</v>
      </c>
      <c r="C13" s="28">
        <f>SUM(C14:C17)</f>
        <v>125031701</v>
      </c>
      <c r="D13" s="110">
        <f>SUM(D14:D17)</f>
        <v>41283113</v>
      </c>
      <c r="E13" s="110">
        <f>SUM(E14:E17)</f>
        <v>41490344</v>
      </c>
      <c r="F13" s="110">
        <f>SUM(F14:F17)</f>
        <v>42258244</v>
      </c>
    </row>
    <row r="14" spans="1:6" ht="15">
      <c r="A14" s="140"/>
      <c r="B14" s="3" t="s">
        <v>393</v>
      </c>
      <c r="C14" s="29">
        <f>SUM(D14:F14)</f>
        <v>37289001</v>
      </c>
      <c r="D14" s="88">
        <f>'ПР13 ОМ 3'!F9</f>
        <v>12523313</v>
      </c>
      <c r="E14" s="88">
        <f>'ПР13 ОМ 3'!F10</f>
        <v>12382844</v>
      </c>
      <c r="F14" s="88">
        <f>'ПР13 ОМ 3'!F11</f>
        <v>12382844</v>
      </c>
    </row>
    <row r="15" spans="1:6" ht="15">
      <c r="A15" s="140"/>
      <c r="B15" s="3" t="s">
        <v>391</v>
      </c>
      <c r="C15" s="29">
        <f>SUM(D15:F15)</f>
        <v>87742700</v>
      </c>
      <c r="D15" s="88">
        <f>'ПР13 ОМ 3'!G9</f>
        <v>28759800</v>
      </c>
      <c r="E15" s="88">
        <f>'ПР13 ОМ 3'!G10</f>
        <v>29107500</v>
      </c>
      <c r="F15" s="88">
        <f>'ПР13 ОМ 3'!G11</f>
        <v>29875400</v>
      </c>
    </row>
    <row r="16" spans="1:6" ht="15">
      <c r="A16" s="140"/>
      <c r="B16" s="3" t="s">
        <v>392</v>
      </c>
      <c r="C16" s="29">
        <f>SUM(D16:F16)</f>
        <v>0</v>
      </c>
      <c r="D16" s="88">
        <v>0</v>
      </c>
      <c r="E16" s="88">
        <v>0</v>
      </c>
      <c r="F16" s="88">
        <v>0</v>
      </c>
    </row>
    <row r="17" spans="1:6" ht="47.25" customHeight="1">
      <c r="A17" s="140"/>
      <c r="B17" s="3" t="s">
        <v>394</v>
      </c>
      <c r="C17" s="29">
        <f>SUM(D17:F17)</f>
        <v>0</v>
      </c>
      <c r="D17" s="88">
        <v>0</v>
      </c>
      <c r="E17" s="88">
        <v>0</v>
      </c>
      <c r="F17" s="88">
        <v>0</v>
      </c>
    </row>
  </sheetData>
  <sheetProtection/>
  <mergeCells count="7">
    <mergeCell ref="A13:A17"/>
    <mergeCell ref="E1:F1"/>
    <mergeCell ref="A3:F3"/>
    <mergeCell ref="A5:A7"/>
    <mergeCell ref="B5:B7"/>
    <mergeCell ref="C5:F5"/>
    <mergeCell ref="A8:A12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07"/>
  <sheetViews>
    <sheetView zoomScalePageLayoutView="0" workbookViewId="0" topLeftCell="A108">
      <selection activeCell="G44" sqref="G44:G49"/>
    </sheetView>
  </sheetViews>
  <sheetFormatPr defaultColWidth="9.140625" defaultRowHeight="15"/>
  <cols>
    <col min="1" max="1" width="9.140625" style="50" customWidth="1"/>
    <col min="2" max="2" width="35.28125" style="50" customWidth="1"/>
    <col min="3" max="4" width="9.140625" style="50" customWidth="1"/>
    <col min="5" max="5" width="13.7109375" style="50" customWidth="1"/>
    <col min="6" max="6" width="14.7109375" style="50" customWidth="1"/>
    <col min="7" max="7" width="13.140625" style="50" customWidth="1"/>
    <col min="8" max="8" width="12.421875" style="50" bestFit="1" customWidth="1"/>
    <col min="9" max="9" width="13.28125" style="50" customWidth="1"/>
    <col min="10" max="10" width="23.140625" style="50" customWidth="1"/>
    <col min="11" max="11" width="14.28125" style="50" customWidth="1"/>
    <col min="12" max="16384" width="9.140625" style="50" customWidth="1"/>
  </cols>
  <sheetData>
    <row r="1" ht="15">
      <c r="I1" s="63" t="s">
        <v>152</v>
      </c>
    </row>
    <row r="2" ht="15.75">
      <c r="F2" s="57"/>
    </row>
    <row r="3" spans="1:11" ht="39.75" customHeight="1">
      <c r="A3" s="163" t="s">
        <v>256</v>
      </c>
      <c r="B3" s="163"/>
      <c r="C3" s="163"/>
      <c r="D3" s="163"/>
      <c r="E3" s="163"/>
      <c r="F3" s="163"/>
      <c r="G3" s="163"/>
      <c r="H3" s="163"/>
      <c r="I3" s="163"/>
      <c r="J3" s="163"/>
      <c r="K3" s="58"/>
    </row>
    <row r="4" spans="1:11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6:8" ht="15">
      <c r="F5" s="66"/>
      <c r="G5" s="66"/>
      <c r="H5" s="66"/>
    </row>
    <row r="6" spans="1:11" ht="15">
      <c r="A6" s="157" t="s">
        <v>389</v>
      </c>
      <c r="B6" s="149" t="s">
        <v>437</v>
      </c>
      <c r="C6" s="149" t="s">
        <v>403</v>
      </c>
      <c r="D6" s="149" t="s">
        <v>442</v>
      </c>
      <c r="E6" s="149"/>
      <c r="F6" s="149"/>
      <c r="G6" s="149"/>
      <c r="H6" s="149"/>
      <c r="I6" s="149"/>
      <c r="J6" s="150" t="s">
        <v>417</v>
      </c>
      <c r="K6" s="150" t="s">
        <v>398</v>
      </c>
    </row>
    <row r="7" spans="1:11" ht="39" customHeight="1">
      <c r="A7" s="157"/>
      <c r="B7" s="149"/>
      <c r="C7" s="149"/>
      <c r="D7" s="52" t="s">
        <v>390</v>
      </c>
      <c r="E7" s="52" t="s">
        <v>395</v>
      </c>
      <c r="F7" s="52" t="s">
        <v>393</v>
      </c>
      <c r="G7" s="52" t="s">
        <v>391</v>
      </c>
      <c r="H7" s="52" t="s">
        <v>392</v>
      </c>
      <c r="I7" s="52" t="s">
        <v>394</v>
      </c>
      <c r="J7" s="151"/>
      <c r="K7" s="162"/>
    </row>
    <row r="8" spans="1:11" ht="15" customHeight="1">
      <c r="A8" s="218" t="s">
        <v>15</v>
      </c>
      <c r="B8" s="219"/>
      <c r="C8" s="149" t="s">
        <v>43</v>
      </c>
      <c r="D8" s="52" t="s">
        <v>395</v>
      </c>
      <c r="E8" s="53">
        <f>SUM(E9:E11)</f>
        <v>125031701</v>
      </c>
      <c r="F8" s="53">
        <f>SUM(F9:F11)</f>
        <v>37289001</v>
      </c>
      <c r="G8" s="53">
        <f>SUM(G9:G11)</f>
        <v>87742700</v>
      </c>
      <c r="H8" s="53">
        <f>SUM(H9:H11)</f>
        <v>0</v>
      </c>
      <c r="I8" s="53">
        <f>SUM(I9:I11)</f>
        <v>0</v>
      </c>
      <c r="J8" s="150"/>
      <c r="K8" s="150"/>
    </row>
    <row r="9" spans="1:11" ht="15">
      <c r="A9" s="220"/>
      <c r="B9" s="221"/>
      <c r="C9" s="149"/>
      <c r="D9" s="52">
        <v>2014</v>
      </c>
      <c r="E9" s="54">
        <f>SUM(F9:I9)</f>
        <v>41283113</v>
      </c>
      <c r="F9" s="54">
        <f>F13+F33+F61+F69</f>
        <v>12523313</v>
      </c>
      <c r="G9" s="54">
        <f>G13+G33+G61+G69</f>
        <v>28759800</v>
      </c>
      <c r="H9" s="54">
        <f>H13+H33+H61+H69</f>
        <v>0</v>
      </c>
      <c r="I9" s="54">
        <f>I13+I33+I61+I69</f>
        <v>0</v>
      </c>
      <c r="J9" s="151"/>
      <c r="K9" s="151"/>
    </row>
    <row r="10" spans="1:11" ht="15">
      <c r="A10" s="220"/>
      <c r="B10" s="221"/>
      <c r="C10" s="149"/>
      <c r="D10" s="52">
        <v>2015</v>
      </c>
      <c r="E10" s="54">
        <f>SUM(F10:I10)</f>
        <v>41490344</v>
      </c>
      <c r="F10" s="54">
        <f aca="true" t="shared" si="0" ref="F10:I11">F14+F34+F62+F70</f>
        <v>12382844</v>
      </c>
      <c r="G10" s="54">
        <f t="shared" si="0"/>
        <v>29107500</v>
      </c>
      <c r="H10" s="54">
        <f t="shared" si="0"/>
        <v>0</v>
      </c>
      <c r="I10" s="54">
        <f t="shared" si="0"/>
        <v>0</v>
      </c>
      <c r="J10" s="151"/>
      <c r="K10" s="151"/>
    </row>
    <row r="11" spans="1:11" ht="15">
      <c r="A11" s="222"/>
      <c r="B11" s="223"/>
      <c r="C11" s="149"/>
      <c r="D11" s="52">
        <v>2016</v>
      </c>
      <c r="E11" s="54">
        <f>SUM(F11:I11)</f>
        <v>42258244</v>
      </c>
      <c r="F11" s="54">
        <f t="shared" si="0"/>
        <v>12382844</v>
      </c>
      <c r="G11" s="54">
        <f t="shared" si="0"/>
        <v>29875400</v>
      </c>
      <c r="H11" s="54">
        <f t="shared" si="0"/>
        <v>0</v>
      </c>
      <c r="I11" s="54">
        <f t="shared" si="0"/>
        <v>0</v>
      </c>
      <c r="J11" s="151"/>
      <c r="K11" s="151"/>
    </row>
    <row r="12" spans="1:11" ht="15">
      <c r="A12" s="157" t="s">
        <v>399</v>
      </c>
      <c r="B12" s="158" t="s">
        <v>257</v>
      </c>
      <c r="C12" s="149" t="s">
        <v>43</v>
      </c>
      <c r="D12" s="52" t="s">
        <v>395</v>
      </c>
      <c r="E12" s="53">
        <f aca="true" t="shared" si="1" ref="E12:E31">F12+G12+H12+I12</f>
        <v>11570781</v>
      </c>
      <c r="F12" s="53">
        <f>F13+F14+F15</f>
        <v>11570781</v>
      </c>
      <c r="G12" s="53">
        <f>G13+G14+G15</f>
        <v>0</v>
      </c>
      <c r="H12" s="53">
        <f>H13+H14+H15</f>
        <v>0</v>
      </c>
      <c r="I12" s="53">
        <f>I13+I14+I15</f>
        <v>0</v>
      </c>
      <c r="J12" s="150"/>
      <c r="K12" s="150"/>
    </row>
    <row r="13" spans="1:11" ht="15">
      <c r="A13" s="157"/>
      <c r="B13" s="158"/>
      <c r="C13" s="149"/>
      <c r="D13" s="52">
        <v>2014</v>
      </c>
      <c r="E13" s="54">
        <f>F13+G13+H13+I13</f>
        <v>3950573</v>
      </c>
      <c r="F13" s="54">
        <f>F17+F21+F25+F29</f>
        <v>3950573</v>
      </c>
      <c r="G13" s="54">
        <f>G17+G21+G25+G29</f>
        <v>0</v>
      </c>
      <c r="H13" s="54">
        <f>H17+H21+H25+H29</f>
        <v>0</v>
      </c>
      <c r="I13" s="54">
        <f>I17+I21+I25+I29</f>
        <v>0</v>
      </c>
      <c r="J13" s="151"/>
      <c r="K13" s="151"/>
    </row>
    <row r="14" spans="1:11" ht="15">
      <c r="A14" s="157"/>
      <c r="B14" s="158"/>
      <c r="C14" s="149"/>
      <c r="D14" s="52">
        <v>2015</v>
      </c>
      <c r="E14" s="54">
        <f t="shared" si="1"/>
        <v>3810104</v>
      </c>
      <c r="F14" s="54">
        <f aca="true" t="shared" si="2" ref="F14:I15">F18+F22+F26+F30</f>
        <v>3810104</v>
      </c>
      <c r="G14" s="54">
        <f t="shared" si="2"/>
        <v>0</v>
      </c>
      <c r="H14" s="54">
        <f t="shared" si="2"/>
        <v>0</v>
      </c>
      <c r="I14" s="54">
        <f t="shared" si="2"/>
        <v>0</v>
      </c>
      <c r="J14" s="151"/>
      <c r="K14" s="151"/>
    </row>
    <row r="15" spans="1:11" ht="15">
      <c r="A15" s="157"/>
      <c r="B15" s="158"/>
      <c r="C15" s="149"/>
      <c r="D15" s="52">
        <v>2016</v>
      </c>
      <c r="E15" s="54">
        <f t="shared" si="1"/>
        <v>3810104</v>
      </c>
      <c r="F15" s="54">
        <f t="shared" si="2"/>
        <v>3810104</v>
      </c>
      <c r="G15" s="54">
        <f t="shared" si="2"/>
        <v>0</v>
      </c>
      <c r="H15" s="54">
        <f t="shared" si="2"/>
        <v>0</v>
      </c>
      <c r="I15" s="54">
        <f t="shared" si="2"/>
        <v>0</v>
      </c>
      <c r="J15" s="151"/>
      <c r="K15" s="151"/>
    </row>
    <row r="16" spans="1:11" ht="25.5" customHeight="1">
      <c r="A16" s="157" t="s">
        <v>396</v>
      </c>
      <c r="B16" s="158" t="s">
        <v>258</v>
      </c>
      <c r="C16" s="149" t="s">
        <v>43</v>
      </c>
      <c r="D16" s="52" t="s">
        <v>395</v>
      </c>
      <c r="E16" s="53">
        <f t="shared" si="1"/>
        <v>2857578</v>
      </c>
      <c r="F16" s="53">
        <f>F17+F18+F19</f>
        <v>2857578</v>
      </c>
      <c r="G16" s="53">
        <f>G17+G18+G19</f>
        <v>0</v>
      </c>
      <c r="H16" s="53">
        <f>H17+H18+H19</f>
        <v>0</v>
      </c>
      <c r="I16" s="53">
        <f>I17+I18+I19</f>
        <v>0</v>
      </c>
      <c r="J16" s="149" t="s">
        <v>272</v>
      </c>
      <c r="K16" s="149"/>
    </row>
    <row r="17" spans="1:11" ht="25.5" customHeight="1">
      <c r="A17" s="157"/>
      <c r="B17" s="158"/>
      <c r="C17" s="149"/>
      <c r="D17" s="52">
        <v>2014</v>
      </c>
      <c r="E17" s="54">
        <f t="shared" si="1"/>
        <v>952526</v>
      </c>
      <c r="F17" s="54">
        <v>952526</v>
      </c>
      <c r="G17" s="54"/>
      <c r="H17" s="54"/>
      <c r="I17" s="54"/>
      <c r="J17" s="149"/>
      <c r="K17" s="149"/>
    </row>
    <row r="18" spans="1:11" ht="25.5" customHeight="1">
      <c r="A18" s="157"/>
      <c r="B18" s="158"/>
      <c r="C18" s="149"/>
      <c r="D18" s="52">
        <v>2015</v>
      </c>
      <c r="E18" s="54">
        <f t="shared" si="1"/>
        <v>952526</v>
      </c>
      <c r="F18" s="54">
        <v>952526</v>
      </c>
      <c r="G18" s="54"/>
      <c r="H18" s="54"/>
      <c r="I18" s="54"/>
      <c r="J18" s="149"/>
      <c r="K18" s="149"/>
    </row>
    <row r="19" spans="1:11" ht="25.5" customHeight="1">
      <c r="A19" s="157"/>
      <c r="B19" s="158"/>
      <c r="C19" s="149"/>
      <c r="D19" s="52">
        <v>2016</v>
      </c>
      <c r="E19" s="54">
        <f t="shared" si="1"/>
        <v>952526</v>
      </c>
      <c r="F19" s="54">
        <v>952526</v>
      </c>
      <c r="G19" s="54"/>
      <c r="H19" s="54"/>
      <c r="I19" s="54"/>
      <c r="J19" s="149"/>
      <c r="K19" s="149"/>
    </row>
    <row r="20" spans="1:11" ht="23.25" customHeight="1">
      <c r="A20" s="154" t="s">
        <v>397</v>
      </c>
      <c r="B20" s="207" t="s">
        <v>270</v>
      </c>
      <c r="C20" s="149" t="s">
        <v>43</v>
      </c>
      <c r="D20" s="52" t="s">
        <v>395</v>
      </c>
      <c r="E20" s="53">
        <f t="shared" si="1"/>
        <v>2904401</v>
      </c>
      <c r="F20" s="53">
        <f>F21+F22+F23</f>
        <v>2904401</v>
      </c>
      <c r="G20" s="53">
        <f>G21+G22+G23</f>
        <v>0</v>
      </c>
      <c r="H20" s="53">
        <f>H21+H22+H23</f>
        <v>0</v>
      </c>
      <c r="I20" s="53">
        <f>I21+I22+I23</f>
        <v>0</v>
      </c>
      <c r="J20" s="149" t="s">
        <v>271</v>
      </c>
      <c r="K20" s="149"/>
    </row>
    <row r="21" spans="1:11" ht="23.25" customHeight="1">
      <c r="A21" s="205"/>
      <c r="B21" s="208"/>
      <c r="C21" s="149"/>
      <c r="D21" s="52">
        <v>2014</v>
      </c>
      <c r="E21" s="54">
        <f t="shared" si="1"/>
        <v>999349</v>
      </c>
      <c r="F21" s="54">
        <f>952526+46823</f>
        <v>999349</v>
      </c>
      <c r="G21" s="54"/>
      <c r="H21" s="54"/>
      <c r="I21" s="54"/>
      <c r="J21" s="149"/>
      <c r="K21" s="149"/>
    </row>
    <row r="22" spans="1:11" ht="23.25" customHeight="1">
      <c r="A22" s="205"/>
      <c r="B22" s="208"/>
      <c r="C22" s="149"/>
      <c r="D22" s="52">
        <v>2015</v>
      </c>
      <c r="E22" s="54">
        <f t="shared" si="1"/>
        <v>952526</v>
      </c>
      <c r="F22" s="54">
        <v>952526</v>
      </c>
      <c r="G22" s="54"/>
      <c r="H22" s="54"/>
      <c r="I22" s="54"/>
      <c r="J22" s="149"/>
      <c r="K22" s="149"/>
    </row>
    <row r="23" spans="1:11" ht="23.25" customHeight="1">
      <c r="A23" s="206"/>
      <c r="B23" s="209"/>
      <c r="C23" s="149"/>
      <c r="D23" s="52">
        <v>2016</v>
      </c>
      <c r="E23" s="54">
        <f t="shared" si="1"/>
        <v>952526</v>
      </c>
      <c r="F23" s="54">
        <v>952526</v>
      </c>
      <c r="G23" s="54"/>
      <c r="H23" s="54"/>
      <c r="I23" s="54"/>
      <c r="J23" s="149"/>
      <c r="K23" s="149"/>
    </row>
    <row r="24" spans="1:11" ht="21.75" customHeight="1">
      <c r="A24" s="154" t="s">
        <v>424</v>
      </c>
      <c r="B24" s="207" t="s">
        <v>273</v>
      </c>
      <c r="C24" s="149" t="s">
        <v>43</v>
      </c>
      <c r="D24" s="52" t="s">
        <v>395</v>
      </c>
      <c r="E24" s="53">
        <f t="shared" si="1"/>
        <v>2904401</v>
      </c>
      <c r="F24" s="53">
        <f>F25+F26+F27</f>
        <v>2904401</v>
      </c>
      <c r="G24" s="53">
        <f>G25+G26+G27</f>
        <v>0</v>
      </c>
      <c r="H24" s="53">
        <f>H25+H26+H27</f>
        <v>0</v>
      </c>
      <c r="I24" s="53">
        <f>I25+I26+I27</f>
        <v>0</v>
      </c>
      <c r="J24" s="150" t="s">
        <v>274</v>
      </c>
      <c r="K24" s="150"/>
    </row>
    <row r="25" spans="1:11" ht="21.75" customHeight="1">
      <c r="A25" s="205"/>
      <c r="B25" s="208"/>
      <c r="C25" s="149"/>
      <c r="D25" s="52">
        <v>2014</v>
      </c>
      <c r="E25" s="54">
        <f t="shared" si="1"/>
        <v>999349</v>
      </c>
      <c r="F25" s="54">
        <f>952526+46823</f>
        <v>999349</v>
      </c>
      <c r="G25" s="54"/>
      <c r="H25" s="54"/>
      <c r="I25" s="54"/>
      <c r="J25" s="151"/>
      <c r="K25" s="151"/>
    </row>
    <row r="26" spans="1:11" ht="21.75" customHeight="1">
      <c r="A26" s="205"/>
      <c r="B26" s="208"/>
      <c r="C26" s="149"/>
      <c r="D26" s="52">
        <v>2015</v>
      </c>
      <c r="E26" s="54">
        <f t="shared" si="1"/>
        <v>952526</v>
      </c>
      <c r="F26" s="54">
        <v>952526</v>
      </c>
      <c r="G26" s="54"/>
      <c r="H26" s="54"/>
      <c r="I26" s="54"/>
      <c r="J26" s="151"/>
      <c r="K26" s="151"/>
    </row>
    <row r="27" spans="1:11" ht="21.75" customHeight="1">
      <c r="A27" s="206"/>
      <c r="B27" s="209"/>
      <c r="C27" s="149"/>
      <c r="D27" s="52">
        <v>2016</v>
      </c>
      <c r="E27" s="54">
        <f t="shared" si="1"/>
        <v>952526</v>
      </c>
      <c r="F27" s="54">
        <v>952526</v>
      </c>
      <c r="G27" s="54"/>
      <c r="H27" s="54"/>
      <c r="I27" s="54"/>
      <c r="J27" s="162"/>
      <c r="K27" s="162"/>
    </row>
    <row r="28" spans="1:11" ht="34.5" customHeight="1">
      <c r="A28" s="154" t="s">
        <v>4</v>
      </c>
      <c r="B28" s="207" t="s">
        <v>275</v>
      </c>
      <c r="C28" s="149" t="s">
        <v>43</v>
      </c>
      <c r="D28" s="52" t="s">
        <v>395</v>
      </c>
      <c r="E28" s="53">
        <f t="shared" si="1"/>
        <v>2904401</v>
      </c>
      <c r="F28" s="53">
        <f>F29+F30+F31</f>
        <v>2904401</v>
      </c>
      <c r="G28" s="53">
        <f>G29+G30+G31</f>
        <v>0</v>
      </c>
      <c r="H28" s="53">
        <f>H29+H30+H31</f>
        <v>0</v>
      </c>
      <c r="I28" s="53">
        <f>I29+I30+I31</f>
        <v>0</v>
      </c>
      <c r="J28" s="150" t="s">
        <v>276</v>
      </c>
      <c r="K28" s="150"/>
    </row>
    <row r="29" spans="1:11" ht="34.5" customHeight="1">
      <c r="A29" s="205"/>
      <c r="B29" s="208"/>
      <c r="C29" s="149"/>
      <c r="D29" s="52">
        <v>2014</v>
      </c>
      <c r="E29" s="54">
        <f t="shared" si="1"/>
        <v>999349</v>
      </c>
      <c r="F29" s="54">
        <f>952526+46823</f>
        <v>999349</v>
      </c>
      <c r="G29" s="54"/>
      <c r="H29" s="54"/>
      <c r="I29" s="54"/>
      <c r="J29" s="151"/>
      <c r="K29" s="151"/>
    </row>
    <row r="30" spans="1:11" ht="34.5" customHeight="1">
      <c r="A30" s="205"/>
      <c r="B30" s="208"/>
      <c r="C30" s="149"/>
      <c r="D30" s="52">
        <v>2015</v>
      </c>
      <c r="E30" s="54">
        <f t="shared" si="1"/>
        <v>952526</v>
      </c>
      <c r="F30" s="54">
        <v>952526</v>
      </c>
      <c r="G30" s="54"/>
      <c r="H30" s="54"/>
      <c r="I30" s="54"/>
      <c r="J30" s="151"/>
      <c r="K30" s="151"/>
    </row>
    <row r="31" spans="1:11" ht="34.5" customHeight="1">
      <c r="A31" s="206"/>
      <c r="B31" s="209"/>
      <c r="C31" s="149"/>
      <c r="D31" s="52">
        <v>2016</v>
      </c>
      <c r="E31" s="54">
        <f t="shared" si="1"/>
        <v>952526</v>
      </c>
      <c r="F31" s="54">
        <v>952526</v>
      </c>
      <c r="G31" s="54"/>
      <c r="H31" s="54"/>
      <c r="I31" s="54"/>
      <c r="J31" s="162"/>
      <c r="K31" s="162"/>
    </row>
    <row r="32" spans="1:11" ht="19.5" customHeight="1">
      <c r="A32" s="154" t="s">
        <v>400</v>
      </c>
      <c r="B32" s="207" t="s">
        <v>277</v>
      </c>
      <c r="C32" s="149" t="s">
        <v>43</v>
      </c>
      <c r="D32" s="52" t="s">
        <v>395</v>
      </c>
      <c r="E32" s="53">
        <f aca="true" t="shared" si="3" ref="E32:E39">F32+G32+H32+I32</f>
        <v>87742700</v>
      </c>
      <c r="F32" s="53">
        <f>F33+F34+F35</f>
        <v>0</v>
      </c>
      <c r="G32" s="53">
        <f>G33+G34+G35</f>
        <v>87742700</v>
      </c>
      <c r="H32" s="53">
        <f>H33+H34+H35</f>
        <v>0</v>
      </c>
      <c r="I32" s="53">
        <f>I33+I34+I35</f>
        <v>0</v>
      </c>
      <c r="J32" s="150"/>
      <c r="K32" s="150"/>
    </row>
    <row r="33" spans="1:11" ht="19.5" customHeight="1">
      <c r="A33" s="205"/>
      <c r="B33" s="208"/>
      <c r="C33" s="149"/>
      <c r="D33" s="52">
        <v>2014</v>
      </c>
      <c r="E33" s="54">
        <f t="shared" si="3"/>
        <v>28759800</v>
      </c>
      <c r="F33" s="54">
        <f>F37+F41+F45+F49+F53+F57</f>
        <v>0</v>
      </c>
      <c r="G33" s="54">
        <f>G37+G41+G45+G49+G53+G57</f>
        <v>28759800</v>
      </c>
      <c r="H33" s="54">
        <f>H37+H41+H45+H49+H53+H57</f>
        <v>0</v>
      </c>
      <c r="I33" s="54">
        <f>I37+I41+I45+I49+I53+I57</f>
        <v>0</v>
      </c>
      <c r="J33" s="151"/>
      <c r="K33" s="151"/>
    </row>
    <row r="34" spans="1:11" ht="19.5" customHeight="1">
      <c r="A34" s="205"/>
      <c r="B34" s="208"/>
      <c r="C34" s="149"/>
      <c r="D34" s="52">
        <v>2015</v>
      </c>
      <c r="E34" s="54">
        <f t="shared" si="3"/>
        <v>29107500</v>
      </c>
      <c r="F34" s="54">
        <f aca="true" t="shared" si="4" ref="F34:I35">F38+F42+F46+F50+F54+F58</f>
        <v>0</v>
      </c>
      <c r="G34" s="54">
        <f t="shared" si="4"/>
        <v>29107500</v>
      </c>
      <c r="H34" s="54">
        <f t="shared" si="4"/>
        <v>0</v>
      </c>
      <c r="I34" s="54">
        <f t="shared" si="4"/>
        <v>0</v>
      </c>
      <c r="J34" s="151"/>
      <c r="K34" s="151"/>
    </row>
    <row r="35" spans="1:11" ht="19.5" customHeight="1">
      <c r="A35" s="206"/>
      <c r="B35" s="209"/>
      <c r="C35" s="149"/>
      <c r="D35" s="52">
        <v>2016</v>
      </c>
      <c r="E35" s="54">
        <f t="shared" si="3"/>
        <v>29875400</v>
      </c>
      <c r="F35" s="54">
        <f t="shared" si="4"/>
        <v>0</v>
      </c>
      <c r="G35" s="54">
        <f t="shared" si="4"/>
        <v>29875400</v>
      </c>
      <c r="H35" s="54">
        <f t="shared" si="4"/>
        <v>0</v>
      </c>
      <c r="I35" s="54">
        <f t="shared" si="4"/>
        <v>0</v>
      </c>
      <c r="J35" s="162"/>
      <c r="K35" s="162"/>
    </row>
    <row r="36" spans="1:11" ht="31.5" customHeight="1">
      <c r="A36" s="154" t="s">
        <v>401</v>
      </c>
      <c r="B36" s="207" t="s">
        <v>283</v>
      </c>
      <c r="C36" s="149" t="s">
        <v>43</v>
      </c>
      <c r="D36" s="52" t="s">
        <v>395</v>
      </c>
      <c r="E36" s="53">
        <f t="shared" si="3"/>
        <v>13075000</v>
      </c>
      <c r="F36" s="53">
        <f>F37+F38+F39</f>
        <v>0</v>
      </c>
      <c r="G36" s="53">
        <f>G37+G38+G39</f>
        <v>13075000</v>
      </c>
      <c r="H36" s="53">
        <f>H37+H38+H39</f>
        <v>0</v>
      </c>
      <c r="I36" s="53">
        <f>I37+I38+I39</f>
        <v>0</v>
      </c>
      <c r="J36" s="150" t="s">
        <v>278</v>
      </c>
      <c r="K36" s="150"/>
    </row>
    <row r="37" spans="1:11" ht="31.5" customHeight="1">
      <c r="A37" s="205"/>
      <c r="B37" s="208"/>
      <c r="C37" s="149"/>
      <c r="D37" s="52">
        <v>2014</v>
      </c>
      <c r="E37" s="54">
        <f t="shared" si="3"/>
        <v>4265000</v>
      </c>
      <c r="F37" s="54"/>
      <c r="G37" s="54">
        <v>4265000</v>
      </c>
      <c r="H37" s="54"/>
      <c r="I37" s="54"/>
      <c r="J37" s="151"/>
      <c r="K37" s="151"/>
    </row>
    <row r="38" spans="1:11" ht="31.5" customHeight="1">
      <c r="A38" s="205"/>
      <c r="B38" s="208"/>
      <c r="C38" s="149"/>
      <c r="D38" s="52">
        <v>2015</v>
      </c>
      <c r="E38" s="54">
        <f t="shared" si="3"/>
        <v>4405000</v>
      </c>
      <c r="F38" s="54"/>
      <c r="G38" s="54">
        <v>4405000</v>
      </c>
      <c r="H38" s="54"/>
      <c r="I38" s="54"/>
      <c r="J38" s="151"/>
      <c r="K38" s="151"/>
    </row>
    <row r="39" spans="1:11" ht="31.5" customHeight="1">
      <c r="A39" s="206"/>
      <c r="B39" s="209"/>
      <c r="C39" s="149"/>
      <c r="D39" s="52">
        <v>2016</v>
      </c>
      <c r="E39" s="54">
        <f t="shared" si="3"/>
        <v>4405000</v>
      </c>
      <c r="F39" s="54"/>
      <c r="G39" s="54">
        <v>4405000</v>
      </c>
      <c r="H39" s="54"/>
      <c r="I39" s="54"/>
      <c r="J39" s="162"/>
      <c r="K39" s="162"/>
    </row>
    <row r="40" spans="1:11" ht="34.5" customHeight="1">
      <c r="A40" s="154" t="s">
        <v>404</v>
      </c>
      <c r="B40" s="207" t="s">
        <v>284</v>
      </c>
      <c r="C40" s="149" t="s">
        <v>43</v>
      </c>
      <c r="D40" s="52" t="s">
        <v>395</v>
      </c>
      <c r="E40" s="53">
        <f aca="true" t="shared" si="5" ref="E40:E59">F40+G40+H40+I40</f>
        <v>410600</v>
      </c>
      <c r="F40" s="53">
        <f>F41+F42+F43</f>
        <v>0</v>
      </c>
      <c r="G40" s="53">
        <f>G41+G42+G43</f>
        <v>410600</v>
      </c>
      <c r="H40" s="53">
        <f>H41+H42+H43</f>
        <v>0</v>
      </c>
      <c r="I40" s="53">
        <f>I41+I42+I43</f>
        <v>0</v>
      </c>
      <c r="J40" s="150" t="s">
        <v>279</v>
      </c>
      <c r="K40" s="150"/>
    </row>
    <row r="41" spans="1:11" ht="34.5" customHeight="1">
      <c r="A41" s="205"/>
      <c r="B41" s="208"/>
      <c r="C41" s="149"/>
      <c r="D41" s="52">
        <v>2014</v>
      </c>
      <c r="E41" s="54">
        <f t="shared" si="5"/>
        <v>131600</v>
      </c>
      <c r="F41" s="54"/>
      <c r="G41" s="54">
        <v>131600</v>
      </c>
      <c r="H41" s="54"/>
      <c r="I41" s="54"/>
      <c r="J41" s="151"/>
      <c r="K41" s="151"/>
    </row>
    <row r="42" spans="1:11" ht="34.5" customHeight="1">
      <c r="A42" s="205"/>
      <c r="B42" s="208"/>
      <c r="C42" s="149"/>
      <c r="D42" s="52">
        <v>2015</v>
      </c>
      <c r="E42" s="54">
        <f t="shared" si="5"/>
        <v>136800</v>
      </c>
      <c r="F42" s="54"/>
      <c r="G42" s="54">
        <v>136800</v>
      </c>
      <c r="H42" s="54"/>
      <c r="I42" s="54"/>
      <c r="J42" s="151"/>
      <c r="K42" s="151"/>
    </row>
    <row r="43" spans="1:11" ht="34.5" customHeight="1">
      <c r="A43" s="206"/>
      <c r="B43" s="209"/>
      <c r="C43" s="149"/>
      <c r="D43" s="52">
        <v>2016</v>
      </c>
      <c r="E43" s="54">
        <f t="shared" si="5"/>
        <v>142200</v>
      </c>
      <c r="F43" s="54"/>
      <c r="G43" s="54">
        <v>142200</v>
      </c>
      <c r="H43" s="54"/>
      <c r="I43" s="54"/>
      <c r="J43" s="162"/>
      <c r="K43" s="162"/>
    </row>
    <row r="44" spans="1:11" ht="30" customHeight="1">
      <c r="A44" s="154" t="s">
        <v>146</v>
      </c>
      <c r="B44" s="207" t="s">
        <v>285</v>
      </c>
      <c r="C44" s="149" t="s">
        <v>43</v>
      </c>
      <c r="D44" s="52" t="s">
        <v>395</v>
      </c>
      <c r="E44" s="53">
        <f t="shared" si="5"/>
        <v>6549300</v>
      </c>
      <c r="F44" s="53">
        <f>F45+F46+F47</f>
        <v>0</v>
      </c>
      <c r="G44" s="53">
        <f>G45+G46+G47</f>
        <v>6549300</v>
      </c>
      <c r="H44" s="53">
        <f>H45+H46+H47</f>
        <v>0</v>
      </c>
      <c r="I44" s="53">
        <f>I45+I46+I47</f>
        <v>0</v>
      </c>
      <c r="J44" s="150" t="s">
        <v>280</v>
      </c>
      <c r="K44" s="150"/>
    </row>
    <row r="45" spans="1:11" ht="30" customHeight="1">
      <c r="A45" s="205"/>
      <c r="B45" s="208"/>
      <c r="C45" s="149"/>
      <c r="D45" s="52">
        <v>2014</v>
      </c>
      <c r="E45" s="54">
        <f t="shared" si="5"/>
        <v>1876300</v>
      </c>
      <c r="F45" s="54"/>
      <c r="G45" s="54">
        <f>22700+1951000-97400</f>
        <v>1876300</v>
      </c>
      <c r="H45" s="54"/>
      <c r="I45" s="54"/>
      <c r="J45" s="151"/>
      <c r="K45" s="151"/>
    </row>
    <row r="46" spans="1:11" ht="30" customHeight="1">
      <c r="A46" s="205"/>
      <c r="B46" s="208"/>
      <c r="C46" s="149"/>
      <c r="D46" s="52">
        <v>2015</v>
      </c>
      <c r="E46" s="54">
        <f t="shared" si="5"/>
        <v>2281600</v>
      </c>
      <c r="F46" s="54"/>
      <c r="G46" s="54">
        <f>23500+2506800-248700</f>
        <v>2281600</v>
      </c>
      <c r="H46" s="54"/>
      <c r="I46" s="54"/>
      <c r="J46" s="151"/>
      <c r="K46" s="151"/>
    </row>
    <row r="47" spans="1:11" ht="30" customHeight="1">
      <c r="A47" s="206"/>
      <c r="B47" s="209"/>
      <c r="C47" s="149"/>
      <c r="D47" s="52">
        <v>2016</v>
      </c>
      <c r="E47" s="54">
        <f t="shared" si="5"/>
        <v>2391400</v>
      </c>
      <c r="F47" s="54"/>
      <c r="G47" s="54">
        <f>23500+2712400-344500</f>
        <v>2391400</v>
      </c>
      <c r="H47" s="54"/>
      <c r="I47" s="54"/>
      <c r="J47" s="162"/>
      <c r="K47" s="162"/>
    </row>
    <row r="48" spans="1:11" ht="24" customHeight="1">
      <c r="A48" s="154" t="s">
        <v>148</v>
      </c>
      <c r="B48" s="207" t="s">
        <v>286</v>
      </c>
      <c r="C48" s="149" t="s">
        <v>43</v>
      </c>
      <c r="D48" s="52" t="s">
        <v>395</v>
      </c>
      <c r="E48" s="53">
        <f t="shared" si="5"/>
        <v>732800</v>
      </c>
      <c r="F48" s="53">
        <f>F49+F50+F51</f>
        <v>0</v>
      </c>
      <c r="G48" s="53">
        <f>G49+G50+G51</f>
        <v>732800</v>
      </c>
      <c r="H48" s="53">
        <f>H49+H50+H51</f>
        <v>0</v>
      </c>
      <c r="I48" s="53">
        <f>I49+I50+I51</f>
        <v>0</v>
      </c>
      <c r="J48" s="150" t="s">
        <v>281</v>
      </c>
      <c r="K48" s="150"/>
    </row>
    <row r="49" spans="1:11" ht="24" customHeight="1">
      <c r="A49" s="205"/>
      <c r="B49" s="208"/>
      <c r="C49" s="149"/>
      <c r="D49" s="52">
        <v>2014</v>
      </c>
      <c r="E49" s="54">
        <f t="shared" si="5"/>
        <v>418700</v>
      </c>
      <c r="F49" s="54"/>
      <c r="G49" s="54">
        <v>418700</v>
      </c>
      <c r="H49" s="54"/>
      <c r="I49" s="54"/>
      <c r="J49" s="151"/>
      <c r="K49" s="151"/>
    </row>
    <row r="50" spans="1:11" ht="24" customHeight="1">
      <c r="A50" s="205"/>
      <c r="B50" s="208"/>
      <c r="C50" s="149"/>
      <c r="D50" s="52">
        <v>2015</v>
      </c>
      <c r="E50" s="54">
        <f t="shared" si="5"/>
        <v>209400</v>
      </c>
      <c r="F50" s="54"/>
      <c r="G50" s="54">
        <v>209400</v>
      </c>
      <c r="H50" s="54"/>
      <c r="I50" s="54"/>
      <c r="J50" s="151"/>
      <c r="K50" s="151"/>
    </row>
    <row r="51" spans="1:11" ht="24" customHeight="1">
      <c r="A51" s="206"/>
      <c r="B51" s="209"/>
      <c r="C51" s="149"/>
      <c r="D51" s="52">
        <v>2016</v>
      </c>
      <c r="E51" s="54">
        <f t="shared" si="5"/>
        <v>104700</v>
      </c>
      <c r="F51" s="54"/>
      <c r="G51" s="54">
        <v>104700</v>
      </c>
      <c r="H51" s="54"/>
      <c r="I51" s="54"/>
      <c r="J51" s="162"/>
      <c r="K51" s="162"/>
    </row>
    <row r="52" spans="1:11" ht="30.75" customHeight="1">
      <c r="A52" s="154" t="s">
        <v>150</v>
      </c>
      <c r="B52" s="207" t="s">
        <v>287</v>
      </c>
      <c r="C52" s="149" t="s">
        <v>43</v>
      </c>
      <c r="D52" s="52" t="s">
        <v>395</v>
      </c>
      <c r="E52" s="53">
        <f t="shared" si="5"/>
        <v>1845700</v>
      </c>
      <c r="F52" s="53">
        <f>F53+F54+F55</f>
        <v>0</v>
      </c>
      <c r="G52" s="53">
        <f>G53+G54+G55</f>
        <v>1845700</v>
      </c>
      <c r="H52" s="53">
        <f>H53+H54+H55</f>
        <v>0</v>
      </c>
      <c r="I52" s="53">
        <f>I53+I54+I55</f>
        <v>0</v>
      </c>
      <c r="J52" s="150" t="s">
        <v>282</v>
      </c>
      <c r="K52" s="150"/>
    </row>
    <row r="53" spans="1:11" ht="30.75" customHeight="1">
      <c r="A53" s="205"/>
      <c r="B53" s="208"/>
      <c r="C53" s="149"/>
      <c r="D53" s="52">
        <v>2014</v>
      </c>
      <c r="E53" s="54">
        <f t="shared" si="5"/>
        <v>591300</v>
      </c>
      <c r="F53" s="54"/>
      <c r="G53" s="54">
        <v>591300</v>
      </c>
      <c r="H53" s="54"/>
      <c r="I53" s="54"/>
      <c r="J53" s="151"/>
      <c r="K53" s="151"/>
    </row>
    <row r="54" spans="1:11" ht="30.75" customHeight="1">
      <c r="A54" s="205"/>
      <c r="B54" s="208"/>
      <c r="C54" s="149"/>
      <c r="D54" s="52">
        <v>2015</v>
      </c>
      <c r="E54" s="54">
        <f t="shared" si="5"/>
        <v>614900</v>
      </c>
      <c r="F54" s="54"/>
      <c r="G54" s="54">
        <v>614900</v>
      </c>
      <c r="H54" s="54"/>
      <c r="I54" s="54"/>
      <c r="J54" s="151"/>
      <c r="K54" s="151"/>
    </row>
    <row r="55" spans="1:11" ht="30.75" customHeight="1">
      <c r="A55" s="206"/>
      <c r="B55" s="209"/>
      <c r="C55" s="149"/>
      <c r="D55" s="52">
        <v>2016</v>
      </c>
      <c r="E55" s="54">
        <f t="shared" si="5"/>
        <v>639500</v>
      </c>
      <c r="F55" s="54"/>
      <c r="G55" s="54">
        <v>639500</v>
      </c>
      <c r="H55" s="54"/>
      <c r="I55" s="54"/>
      <c r="J55" s="162"/>
      <c r="K55" s="162"/>
    </row>
    <row r="56" spans="1:11" ht="30.75" customHeight="1">
      <c r="A56" s="154" t="s">
        <v>288</v>
      </c>
      <c r="B56" s="207" t="s">
        <v>290</v>
      </c>
      <c r="C56" s="149" t="s">
        <v>43</v>
      </c>
      <c r="D56" s="52" t="s">
        <v>395</v>
      </c>
      <c r="E56" s="53">
        <f t="shared" si="5"/>
        <v>65129300</v>
      </c>
      <c r="F56" s="53">
        <f>F57+F58+F59</f>
        <v>0</v>
      </c>
      <c r="G56" s="53">
        <f>G57+G58+G59</f>
        <v>65129300</v>
      </c>
      <c r="H56" s="53">
        <f>H57+H58+H59</f>
        <v>0</v>
      </c>
      <c r="I56" s="53">
        <f>I57+I58+I59</f>
        <v>0</v>
      </c>
      <c r="J56" s="150" t="s">
        <v>289</v>
      </c>
      <c r="K56" s="150"/>
    </row>
    <row r="57" spans="1:11" ht="30.75" customHeight="1">
      <c r="A57" s="205"/>
      <c r="B57" s="208"/>
      <c r="C57" s="149"/>
      <c r="D57" s="52">
        <v>2014</v>
      </c>
      <c r="E57" s="54">
        <f t="shared" si="5"/>
        <v>21476900</v>
      </c>
      <c r="F57" s="54"/>
      <c r="G57" s="54">
        <v>21476900</v>
      </c>
      <c r="H57" s="54"/>
      <c r="I57" s="54"/>
      <c r="J57" s="151"/>
      <c r="K57" s="151"/>
    </row>
    <row r="58" spans="1:11" ht="30.75" customHeight="1">
      <c r="A58" s="205"/>
      <c r="B58" s="208"/>
      <c r="C58" s="149"/>
      <c r="D58" s="52">
        <v>2015</v>
      </c>
      <c r="E58" s="54">
        <f t="shared" si="5"/>
        <v>21459800</v>
      </c>
      <c r="F58" s="54"/>
      <c r="G58" s="54">
        <v>21459800</v>
      </c>
      <c r="H58" s="54"/>
      <c r="I58" s="54"/>
      <c r="J58" s="151"/>
      <c r="K58" s="151"/>
    </row>
    <row r="59" spans="1:11" ht="30.75" customHeight="1">
      <c r="A59" s="206"/>
      <c r="B59" s="209"/>
      <c r="C59" s="149"/>
      <c r="D59" s="52">
        <v>2016</v>
      </c>
      <c r="E59" s="54">
        <f t="shared" si="5"/>
        <v>22192600</v>
      </c>
      <c r="F59" s="54"/>
      <c r="G59" s="54">
        <v>22192600</v>
      </c>
      <c r="H59" s="54"/>
      <c r="I59" s="54"/>
      <c r="J59" s="162"/>
      <c r="K59" s="162"/>
    </row>
    <row r="60" spans="1:11" ht="34.5" customHeight="1">
      <c r="A60" s="154" t="s">
        <v>427</v>
      </c>
      <c r="B60" s="207" t="s">
        <v>171</v>
      </c>
      <c r="C60" s="149" t="s">
        <v>43</v>
      </c>
      <c r="D60" s="52" t="s">
        <v>395</v>
      </c>
      <c r="E60" s="53">
        <f aca="true" t="shared" si="6" ref="E60:E67">F60+G60+H60+I60</f>
        <v>2857578</v>
      </c>
      <c r="F60" s="53">
        <f>F61+F62+F63</f>
        <v>2857578</v>
      </c>
      <c r="G60" s="53">
        <f>G61+G62+G63</f>
        <v>0</v>
      </c>
      <c r="H60" s="53">
        <f>H61+H62+H63</f>
        <v>0</v>
      </c>
      <c r="I60" s="53">
        <f>I61+I62+I63</f>
        <v>0</v>
      </c>
      <c r="J60" s="150"/>
      <c r="K60" s="150"/>
    </row>
    <row r="61" spans="1:11" ht="34.5" customHeight="1">
      <c r="A61" s="205"/>
      <c r="B61" s="208"/>
      <c r="C61" s="149"/>
      <c r="D61" s="52">
        <v>2014</v>
      </c>
      <c r="E61" s="54">
        <f t="shared" si="6"/>
        <v>952526</v>
      </c>
      <c r="F61" s="54">
        <f>F65</f>
        <v>952526</v>
      </c>
      <c r="G61" s="54">
        <f>G65</f>
        <v>0</v>
      </c>
      <c r="H61" s="54">
        <f>H65</f>
        <v>0</v>
      </c>
      <c r="I61" s="54">
        <f>I65</f>
        <v>0</v>
      </c>
      <c r="J61" s="151"/>
      <c r="K61" s="151"/>
    </row>
    <row r="62" spans="1:11" ht="34.5" customHeight="1">
      <c r="A62" s="205"/>
      <c r="B62" s="208"/>
      <c r="C62" s="149"/>
      <c r="D62" s="52">
        <v>2015</v>
      </c>
      <c r="E62" s="54">
        <f t="shared" si="6"/>
        <v>952526</v>
      </c>
      <c r="F62" s="54">
        <f aca="true" t="shared" si="7" ref="F62:I63">F66</f>
        <v>952526</v>
      </c>
      <c r="G62" s="54">
        <f t="shared" si="7"/>
        <v>0</v>
      </c>
      <c r="H62" s="54">
        <f t="shared" si="7"/>
        <v>0</v>
      </c>
      <c r="I62" s="54">
        <f t="shared" si="7"/>
        <v>0</v>
      </c>
      <c r="J62" s="151"/>
      <c r="K62" s="151"/>
    </row>
    <row r="63" spans="1:11" ht="34.5" customHeight="1">
      <c r="A63" s="206"/>
      <c r="B63" s="209"/>
      <c r="C63" s="149"/>
      <c r="D63" s="52">
        <v>2016</v>
      </c>
      <c r="E63" s="54">
        <f t="shared" si="6"/>
        <v>952526</v>
      </c>
      <c r="F63" s="54">
        <f t="shared" si="7"/>
        <v>952526</v>
      </c>
      <c r="G63" s="54">
        <f t="shared" si="7"/>
        <v>0</v>
      </c>
      <c r="H63" s="54">
        <f t="shared" si="7"/>
        <v>0</v>
      </c>
      <c r="I63" s="54">
        <f t="shared" si="7"/>
        <v>0</v>
      </c>
      <c r="J63" s="162"/>
      <c r="K63" s="162"/>
    </row>
    <row r="64" spans="1:11" ht="22.5" customHeight="1">
      <c r="A64" s="154" t="s">
        <v>46</v>
      </c>
      <c r="B64" s="207" t="s">
        <v>174</v>
      </c>
      <c r="C64" s="149" t="s">
        <v>43</v>
      </c>
      <c r="D64" s="52" t="s">
        <v>395</v>
      </c>
      <c r="E64" s="53">
        <f t="shared" si="6"/>
        <v>2857578</v>
      </c>
      <c r="F64" s="53">
        <f>F65+F66+F67</f>
        <v>2857578</v>
      </c>
      <c r="G64" s="53">
        <f>G65+G66+G67</f>
        <v>0</v>
      </c>
      <c r="H64" s="53">
        <f>H65+H66+H67</f>
        <v>0</v>
      </c>
      <c r="I64" s="53">
        <f>I65+I66+I67</f>
        <v>0</v>
      </c>
      <c r="J64" s="150" t="s">
        <v>175</v>
      </c>
      <c r="K64" s="150"/>
    </row>
    <row r="65" spans="1:11" ht="22.5" customHeight="1">
      <c r="A65" s="205"/>
      <c r="B65" s="208"/>
      <c r="C65" s="149"/>
      <c r="D65" s="52">
        <v>2014</v>
      </c>
      <c r="E65" s="54">
        <f t="shared" si="6"/>
        <v>952526</v>
      </c>
      <c r="F65" s="54">
        <v>952526</v>
      </c>
      <c r="G65" s="54"/>
      <c r="H65" s="54"/>
      <c r="I65" s="54"/>
      <c r="J65" s="151"/>
      <c r="K65" s="151"/>
    </row>
    <row r="66" spans="1:11" ht="22.5" customHeight="1">
      <c r="A66" s="205"/>
      <c r="B66" s="208"/>
      <c r="C66" s="149"/>
      <c r="D66" s="52">
        <v>2015</v>
      </c>
      <c r="E66" s="54">
        <f t="shared" si="6"/>
        <v>952526</v>
      </c>
      <c r="F66" s="54">
        <v>952526</v>
      </c>
      <c r="G66" s="54"/>
      <c r="H66" s="54"/>
      <c r="I66" s="54"/>
      <c r="J66" s="151"/>
      <c r="K66" s="151"/>
    </row>
    <row r="67" spans="1:11" ht="22.5" customHeight="1">
      <c r="A67" s="206"/>
      <c r="B67" s="209"/>
      <c r="C67" s="149"/>
      <c r="D67" s="52">
        <v>2016</v>
      </c>
      <c r="E67" s="54">
        <f t="shared" si="6"/>
        <v>952526</v>
      </c>
      <c r="F67" s="54">
        <v>952526</v>
      </c>
      <c r="G67" s="54"/>
      <c r="H67" s="54"/>
      <c r="I67" s="54"/>
      <c r="J67" s="162"/>
      <c r="K67" s="162"/>
    </row>
    <row r="68" spans="1:11" ht="15">
      <c r="A68" s="157" t="s">
        <v>153</v>
      </c>
      <c r="B68" s="158" t="s">
        <v>172</v>
      </c>
      <c r="C68" s="157" t="s">
        <v>43</v>
      </c>
      <c r="D68" s="52" t="s">
        <v>395</v>
      </c>
      <c r="E68" s="53">
        <f aca="true" t="shared" si="8" ref="E68:E103">F68+G68+H68+I68</f>
        <v>22860642</v>
      </c>
      <c r="F68" s="53">
        <f>F69+F70+F71</f>
        <v>22860642</v>
      </c>
      <c r="G68" s="53">
        <f>G69+G70+G71</f>
        <v>0</v>
      </c>
      <c r="H68" s="53">
        <f>H69+H70+H71</f>
        <v>0</v>
      </c>
      <c r="I68" s="53">
        <f>I69+I70+I71</f>
        <v>0</v>
      </c>
      <c r="J68" s="150"/>
      <c r="K68" s="150"/>
    </row>
    <row r="69" spans="1:11" ht="15">
      <c r="A69" s="157"/>
      <c r="B69" s="158"/>
      <c r="C69" s="157"/>
      <c r="D69" s="52">
        <v>2014</v>
      </c>
      <c r="E69" s="54">
        <f t="shared" si="8"/>
        <v>7620214</v>
      </c>
      <c r="F69" s="54">
        <f>F73+F77+F81+F85+F89+F93+F97+F101</f>
        <v>7620214</v>
      </c>
      <c r="G69" s="54">
        <f>G73+G77+G81+G85+G89+G93+G97+G101</f>
        <v>0</v>
      </c>
      <c r="H69" s="54">
        <f>H73+H77+H81+H85+H89+H93+H97+H101</f>
        <v>0</v>
      </c>
      <c r="I69" s="54">
        <f>I73+I77+I81+I85+I89+I93+I97+I101</f>
        <v>0</v>
      </c>
      <c r="J69" s="151"/>
      <c r="K69" s="151"/>
    </row>
    <row r="70" spans="1:11" ht="15">
      <c r="A70" s="157"/>
      <c r="B70" s="158"/>
      <c r="C70" s="157"/>
      <c r="D70" s="52">
        <v>2015</v>
      </c>
      <c r="E70" s="54">
        <f t="shared" si="8"/>
        <v>7620214</v>
      </c>
      <c r="F70" s="54">
        <f aca="true" t="shared" si="9" ref="F70:I71">F74+F78+F82+F86+F90+F94+F98+F102</f>
        <v>7620214</v>
      </c>
      <c r="G70" s="54">
        <f t="shared" si="9"/>
        <v>0</v>
      </c>
      <c r="H70" s="54">
        <f t="shared" si="9"/>
        <v>0</v>
      </c>
      <c r="I70" s="54">
        <f t="shared" si="9"/>
        <v>0</v>
      </c>
      <c r="J70" s="151"/>
      <c r="K70" s="151"/>
    </row>
    <row r="71" spans="1:11" ht="15">
      <c r="A71" s="157"/>
      <c r="B71" s="158"/>
      <c r="C71" s="157"/>
      <c r="D71" s="52">
        <v>2016</v>
      </c>
      <c r="E71" s="54">
        <f t="shared" si="8"/>
        <v>7620214</v>
      </c>
      <c r="F71" s="54">
        <f t="shared" si="9"/>
        <v>7620214</v>
      </c>
      <c r="G71" s="54">
        <f t="shared" si="9"/>
        <v>0</v>
      </c>
      <c r="H71" s="54">
        <f t="shared" si="9"/>
        <v>0</v>
      </c>
      <c r="I71" s="54">
        <f t="shared" si="9"/>
        <v>0</v>
      </c>
      <c r="J71" s="151"/>
      <c r="K71" s="151"/>
    </row>
    <row r="72" spans="1:11" ht="15">
      <c r="A72" s="154" t="s">
        <v>134</v>
      </c>
      <c r="B72" s="159" t="s">
        <v>176</v>
      </c>
      <c r="C72" s="154" t="s">
        <v>43</v>
      </c>
      <c r="D72" s="52" t="s">
        <v>395</v>
      </c>
      <c r="E72" s="53">
        <f t="shared" si="8"/>
        <v>2857578</v>
      </c>
      <c r="F72" s="53">
        <f>F73+F74+F75</f>
        <v>2857578</v>
      </c>
      <c r="G72" s="53">
        <f>G73+G74+G75</f>
        <v>0</v>
      </c>
      <c r="H72" s="53">
        <f>H73+H74+H75</f>
        <v>0</v>
      </c>
      <c r="I72" s="53">
        <f>I73+I74+I75</f>
        <v>0</v>
      </c>
      <c r="J72" s="152" t="s">
        <v>177</v>
      </c>
      <c r="K72" s="149"/>
    </row>
    <row r="73" spans="1:11" ht="15">
      <c r="A73" s="155"/>
      <c r="B73" s="160"/>
      <c r="C73" s="155"/>
      <c r="D73" s="52">
        <v>2014</v>
      </c>
      <c r="E73" s="54">
        <f t="shared" si="8"/>
        <v>952526</v>
      </c>
      <c r="F73" s="54">
        <v>952526</v>
      </c>
      <c r="G73" s="54"/>
      <c r="H73" s="54"/>
      <c r="I73" s="54"/>
      <c r="J73" s="153"/>
      <c r="K73" s="149"/>
    </row>
    <row r="74" spans="1:11" ht="15">
      <c r="A74" s="155"/>
      <c r="B74" s="160"/>
      <c r="C74" s="155"/>
      <c r="D74" s="52">
        <v>2015</v>
      </c>
      <c r="E74" s="54">
        <f t="shared" si="8"/>
        <v>952526</v>
      </c>
      <c r="F74" s="54">
        <v>952526</v>
      </c>
      <c r="G74" s="54"/>
      <c r="H74" s="54"/>
      <c r="I74" s="54"/>
      <c r="J74" s="153"/>
      <c r="K74" s="149"/>
    </row>
    <row r="75" spans="1:11" ht="15">
      <c r="A75" s="156"/>
      <c r="B75" s="161"/>
      <c r="C75" s="156"/>
      <c r="D75" s="52">
        <v>2016</v>
      </c>
      <c r="E75" s="54">
        <f t="shared" si="8"/>
        <v>952526</v>
      </c>
      <c r="F75" s="54">
        <v>952526</v>
      </c>
      <c r="G75" s="54"/>
      <c r="H75" s="54"/>
      <c r="I75" s="54"/>
      <c r="J75" s="153"/>
      <c r="K75" s="149"/>
    </row>
    <row r="76" spans="1:11" ht="15" customHeight="1">
      <c r="A76" s="154" t="s">
        <v>178</v>
      </c>
      <c r="B76" s="159" t="s">
        <v>180</v>
      </c>
      <c r="C76" s="154" t="s">
        <v>43</v>
      </c>
      <c r="D76" s="52" t="s">
        <v>395</v>
      </c>
      <c r="E76" s="53">
        <f t="shared" si="8"/>
        <v>2857578</v>
      </c>
      <c r="F76" s="53">
        <f>F77+F78+F79</f>
        <v>2857578</v>
      </c>
      <c r="G76" s="53">
        <f>G77+G78+G79</f>
        <v>0</v>
      </c>
      <c r="H76" s="53">
        <f>H77+H78+H79</f>
        <v>0</v>
      </c>
      <c r="I76" s="53">
        <f>I77+I78+I79</f>
        <v>0</v>
      </c>
      <c r="J76" s="152" t="s">
        <v>337</v>
      </c>
      <c r="K76" s="149"/>
    </row>
    <row r="77" spans="1:11" ht="15">
      <c r="A77" s="155"/>
      <c r="B77" s="160"/>
      <c r="C77" s="155"/>
      <c r="D77" s="52">
        <v>2014</v>
      </c>
      <c r="E77" s="54">
        <f t="shared" si="8"/>
        <v>952526</v>
      </c>
      <c r="F77" s="54">
        <v>952526</v>
      </c>
      <c r="G77" s="54"/>
      <c r="H77" s="54"/>
      <c r="I77" s="54"/>
      <c r="J77" s="153"/>
      <c r="K77" s="149"/>
    </row>
    <row r="78" spans="1:11" ht="15">
      <c r="A78" s="155"/>
      <c r="B78" s="160"/>
      <c r="C78" s="155"/>
      <c r="D78" s="52">
        <v>2015</v>
      </c>
      <c r="E78" s="54">
        <f t="shared" si="8"/>
        <v>952526</v>
      </c>
      <c r="F78" s="54">
        <v>952526</v>
      </c>
      <c r="G78" s="54"/>
      <c r="H78" s="54"/>
      <c r="I78" s="54"/>
      <c r="J78" s="153"/>
      <c r="K78" s="149"/>
    </row>
    <row r="79" spans="1:11" ht="30" customHeight="1">
      <c r="A79" s="156"/>
      <c r="B79" s="161"/>
      <c r="C79" s="156"/>
      <c r="D79" s="52">
        <v>2016</v>
      </c>
      <c r="E79" s="54">
        <f t="shared" si="8"/>
        <v>952526</v>
      </c>
      <c r="F79" s="54">
        <v>952526</v>
      </c>
      <c r="G79" s="54"/>
      <c r="H79" s="54"/>
      <c r="I79" s="54"/>
      <c r="J79" s="153"/>
      <c r="K79" s="149"/>
    </row>
    <row r="80" spans="1:11" ht="15" customHeight="1">
      <c r="A80" s="154" t="s">
        <v>179</v>
      </c>
      <c r="B80" s="159" t="s">
        <v>181</v>
      </c>
      <c r="C80" s="154" t="s">
        <v>43</v>
      </c>
      <c r="D80" s="52" t="s">
        <v>395</v>
      </c>
      <c r="E80" s="53">
        <f t="shared" si="8"/>
        <v>2857578</v>
      </c>
      <c r="F80" s="53">
        <f>F81+F82+F83</f>
        <v>2857578</v>
      </c>
      <c r="G80" s="53">
        <f>G81+G82+G83</f>
        <v>0</v>
      </c>
      <c r="H80" s="53">
        <f>H81+H82+H83</f>
        <v>0</v>
      </c>
      <c r="I80" s="53">
        <f>I81+I82+I83</f>
        <v>0</v>
      </c>
      <c r="J80" s="152" t="s">
        <v>338</v>
      </c>
      <c r="K80" s="149"/>
    </row>
    <row r="81" spans="1:11" ht="15">
      <c r="A81" s="155"/>
      <c r="B81" s="160"/>
      <c r="C81" s="155"/>
      <c r="D81" s="52">
        <v>2014</v>
      </c>
      <c r="E81" s="54">
        <f t="shared" si="8"/>
        <v>952526</v>
      </c>
      <c r="F81" s="54">
        <v>952526</v>
      </c>
      <c r="G81" s="54"/>
      <c r="H81" s="54"/>
      <c r="I81" s="54"/>
      <c r="J81" s="153"/>
      <c r="K81" s="149"/>
    </row>
    <row r="82" spans="1:11" ht="15">
      <c r="A82" s="155"/>
      <c r="B82" s="160"/>
      <c r="C82" s="155"/>
      <c r="D82" s="52">
        <v>2015</v>
      </c>
      <c r="E82" s="54">
        <f t="shared" si="8"/>
        <v>952526</v>
      </c>
      <c r="F82" s="54">
        <v>952526</v>
      </c>
      <c r="G82" s="54"/>
      <c r="H82" s="54"/>
      <c r="I82" s="54"/>
      <c r="J82" s="153"/>
      <c r="K82" s="149"/>
    </row>
    <row r="83" spans="1:11" ht="15">
      <c r="A83" s="156"/>
      <c r="B83" s="161"/>
      <c r="C83" s="156"/>
      <c r="D83" s="52">
        <v>2016</v>
      </c>
      <c r="E83" s="54">
        <f t="shared" si="8"/>
        <v>952526</v>
      </c>
      <c r="F83" s="54">
        <v>952526</v>
      </c>
      <c r="G83" s="54"/>
      <c r="H83" s="54"/>
      <c r="I83" s="54"/>
      <c r="J83" s="153"/>
      <c r="K83" s="149"/>
    </row>
    <row r="84" spans="1:11" ht="22.5" customHeight="1">
      <c r="A84" s="154" t="s">
        <v>182</v>
      </c>
      <c r="B84" s="159" t="s">
        <v>183</v>
      </c>
      <c r="C84" s="154" t="s">
        <v>43</v>
      </c>
      <c r="D84" s="52" t="s">
        <v>395</v>
      </c>
      <c r="E84" s="53">
        <f t="shared" si="8"/>
        <v>2857578</v>
      </c>
      <c r="F84" s="53">
        <f>F85+F86+F87</f>
        <v>2857578</v>
      </c>
      <c r="G84" s="53">
        <f>G85+G86+G87</f>
        <v>0</v>
      </c>
      <c r="H84" s="53">
        <f>H85+H86+H87</f>
        <v>0</v>
      </c>
      <c r="I84" s="53">
        <f>I85+I86+I87</f>
        <v>0</v>
      </c>
      <c r="J84" s="149" t="s">
        <v>339</v>
      </c>
      <c r="K84" s="149"/>
    </row>
    <row r="85" spans="1:11" ht="22.5" customHeight="1">
      <c r="A85" s="155"/>
      <c r="B85" s="192"/>
      <c r="C85" s="155"/>
      <c r="D85" s="52">
        <v>2014</v>
      </c>
      <c r="E85" s="54">
        <f t="shared" si="8"/>
        <v>952526</v>
      </c>
      <c r="F85" s="54">
        <v>952526</v>
      </c>
      <c r="G85" s="54"/>
      <c r="H85" s="54"/>
      <c r="I85" s="54"/>
      <c r="J85" s="165"/>
      <c r="K85" s="149"/>
    </row>
    <row r="86" spans="1:11" ht="22.5" customHeight="1">
      <c r="A86" s="155"/>
      <c r="B86" s="192"/>
      <c r="C86" s="155"/>
      <c r="D86" s="52">
        <v>2015</v>
      </c>
      <c r="E86" s="54">
        <f t="shared" si="8"/>
        <v>952526</v>
      </c>
      <c r="F86" s="54">
        <v>952526</v>
      </c>
      <c r="G86" s="54"/>
      <c r="H86" s="54"/>
      <c r="I86" s="54"/>
      <c r="J86" s="165"/>
      <c r="K86" s="149"/>
    </row>
    <row r="87" spans="1:11" ht="22.5" customHeight="1">
      <c r="A87" s="156"/>
      <c r="B87" s="193"/>
      <c r="C87" s="156"/>
      <c r="D87" s="52">
        <v>2016</v>
      </c>
      <c r="E87" s="54">
        <f t="shared" si="8"/>
        <v>952526</v>
      </c>
      <c r="F87" s="54">
        <v>952526</v>
      </c>
      <c r="G87" s="54"/>
      <c r="H87" s="54"/>
      <c r="I87" s="54"/>
      <c r="J87" s="165"/>
      <c r="K87" s="149"/>
    </row>
    <row r="88" spans="1:11" ht="26.25" customHeight="1">
      <c r="A88" s="154" t="s">
        <v>184</v>
      </c>
      <c r="B88" s="159" t="s">
        <v>328</v>
      </c>
      <c r="C88" s="154" t="s">
        <v>43</v>
      </c>
      <c r="D88" s="52" t="s">
        <v>395</v>
      </c>
      <c r="E88" s="53">
        <f t="shared" si="8"/>
        <v>2857578</v>
      </c>
      <c r="F88" s="53">
        <f>F89+F90+F91</f>
        <v>2857578</v>
      </c>
      <c r="G88" s="53">
        <f>G89+G90+G91</f>
        <v>0</v>
      </c>
      <c r="H88" s="53">
        <f>H89+H90+H91</f>
        <v>0</v>
      </c>
      <c r="I88" s="53">
        <f>I89+I90+I91</f>
        <v>0</v>
      </c>
      <c r="J88" s="150" t="s">
        <v>340</v>
      </c>
      <c r="K88" s="149"/>
    </row>
    <row r="89" spans="1:11" ht="21" customHeight="1">
      <c r="A89" s="155"/>
      <c r="B89" s="192"/>
      <c r="C89" s="155"/>
      <c r="D89" s="52">
        <v>2014</v>
      </c>
      <c r="E89" s="54">
        <f t="shared" si="8"/>
        <v>952526</v>
      </c>
      <c r="F89" s="54">
        <v>952526</v>
      </c>
      <c r="G89" s="54"/>
      <c r="H89" s="54"/>
      <c r="I89" s="54"/>
      <c r="J89" s="155"/>
      <c r="K89" s="149"/>
    </row>
    <row r="90" spans="1:11" ht="27.75" customHeight="1">
      <c r="A90" s="155"/>
      <c r="B90" s="192" t="s">
        <v>329</v>
      </c>
      <c r="C90" s="155"/>
      <c r="D90" s="52">
        <v>2015</v>
      </c>
      <c r="E90" s="54">
        <f t="shared" si="8"/>
        <v>952526</v>
      </c>
      <c r="F90" s="54">
        <v>952526</v>
      </c>
      <c r="G90" s="54"/>
      <c r="H90" s="54"/>
      <c r="I90" s="54"/>
      <c r="J90" s="155"/>
      <c r="K90" s="149"/>
    </row>
    <row r="91" spans="1:11" ht="21" customHeight="1">
      <c r="A91" s="156"/>
      <c r="B91" s="193"/>
      <c r="C91" s="156"/>
      <c r="D91" s="52">
        <v>2016</v>
      </c>
      <c r="E91" s="54">
        <f t="shared" si="8"/>
        <v>952526</v>
      </c>
      <c r="F91" s="54">
        <v>952526</v>
      </c>
      <c r="G91" s="54"/>
      <c r="H91" s="54"/>
      <c r="I91" s="54"/>
      <c r="J91" s="155"/>
      <c r="K91" s="149"/>
    </row>
    <row r="92" spans="1:11" ht="22.5" customHeight="1">
      <c r="A92" s="154" t="s">
        <v>330</v>
      </c>
      <c r="B92" s="159" t="s">
        <v>331</v>
      </c>
      <c r="C92" s="154" t="s">
        <v>43</v>
      </c>
      <c r="D92" s="52" t="s">
        <v>395</v>
      </c>
      <c r="E92" s="53">
        <f t="shared" si="8"/>
        <v>2857578</v>
      </c>
      <c r="F92" s="53">
        <f>F93+F94+F95</f>
        <v>2857578</v>
      </c>
      <c r="G92" s="53">
        <f>G93+G94+G95</f>
        <v>0</v>
      </c>
      <c r="H92" s="53">
        <f>H93+H94+H95</f>
        <v>0</v>
      </c>
      <c r="I92" s="53">
        <f>I93+I94+I95</f>
        <v>0</v>
      </c>
      <c r="J92" s="152" t="s">
        <v>341</v>
      </c>
      <c r="K92" s="149"/>
    </row>
    <row r="93" spans="1:11" ht="22.5" customHeight="1">
      <c r="A93" s="155"/>
      <c r="B93" s="160"/>
      <c r="C93" s="155"/>
      <c r="D93" s="52">
        <v>2014</v>
      </c>
      <c r="E93" s="54">
        <f t="shared" si="8"/>
        <v>952526</v>
      </c>
      <c r="F93" s="54">
        <v>952526</v>
      </c>
      <c r="G93" s="54"/>
      <c r="H93" s="54"/>
      <c r="I93" s="54"/>
      <c r="J93" s="153"/>
      <c r="K93" s="149"/>
    </row>
    <row r="94" spans="1:11" ht="22.5" customHeight="1">
      <c r="A94" s="155"/>
      <c r="B94" s="160"/>
      <c r="C94" s="155"/>
      <c r="D94" s="52">
        <v>2015</v>
      </c>
      <c r="E94" s="54">
        <f t="shared" si="8"/>
        <v>952526</v>
      </c>
      <c r="F94" s="54">
        <v>952526</v>
      </c>
      <c r="G94" s="54"/>
      <c r="H94" s="54"/>
      <c r="I94" s="54"/>
      <c r="J94" s="153"/>
      <c r="K94" s="149"/>
    </row>
    <row r="95" spans="1:11" ht="22.5" customHeight="1">
      <c r="A95" s="156"/>
      <c r="B95" s="160"/>
      <c r="C95" s="156"/>
      <c r="D95" s="52">
        <v>2016</v>
      </c>
      <c r="E95" s="54">
        <f t="shared" si="8"/>
        <v>952526</v>
      </c>
      <c r="F95" s="54">
        <v>952526</v>
      </c>
      <c r="G95" s="54"/>
      <c r="H95" s="54"/>
      <c r="I95" s="54"/>
      <c r="J95" s="153"/>
      <c r="K95" s="149"/>
    </row>
    <row r="96" spans="1:11" ht="15" customHeight="1">
      <c r="A96" s="216" t="s">
        <v>332</v>
      </c>
      <c r="B96" s="71" t="s">
        <v>335</v>
      </c>
      <c r="C96" s="217" t="s">
        <v>43</v>
      </c>
      <c r="D96" s="52" t="s">
        <v>395</v>
      </c>
      <c r="E96" s="54">
        <f t="shared" si="8"/>
        <v>2857578</v>
      </c>
      <c r="F96" s="54">
        <f>F97+F98+F99</f>
        <v>2857578</v>
      </c>
      <c r="G96" s="54">
        <f>G97+G98+G99</f>
        <v>0</v>
      </c>
      <c r="H96" s="54">
        <f>H97+H98+H99</f>
        <v>0</v>
      </c>
      <c r="I96" s="54">
        <f>I97+I98+I99</f>
        <v>0</v>
      </c>
      <c r="J96" s="152" t="s">
        <v>342</v>
      </c>
      <c r="K96" s="150"/>
    </row>
    <row r="97" spans="1:11" ht="27.75" customHeight="1">
      <c r="A97" s="216"/>
      <c r="B97" s="208" t="s">
        <v>333</v>
      </c>
      <c r="C97" s="217"/>
      <c r="D97" s="52">
        <v>2014</v>
      </c>
      <c r="E97" s="54">
        <f t="shared" si="8"/>
        <v>952526</v>
      </c>
      <c r="F97" s="54">
        <v>952526</v>
      </c>
      <c r="G97" s="54"/>
      <c r="H97" s="54"/>
      <c r="I97" s="54"/>
      <c r="J97" s="153"/>
      <c r="K97" s="151"/>
    </row>
    <row r="98" spans="1:11" ht="29.25" customHeight="1">
      <c r="A98" s="216"/>
      <c r="B98" s="208"/>
      <c r="C98" s="217"/>
      <c r="D98" s="52">
        <v>2015</v>
      </c>
      <c r="E98" s="54">
        <f t="shared" si="8"/>
        <v>952526</v>
      </c>
      <c r="F98" s="54">
        <v>952526</v>
      </c>
      <c r="G98" s="54"/>
      <c r="H98" s="54"/>
      <c r="I98" s="54"/>
      <c r="J98" s="153"/>
      <c r="K98" s="151"/>
    </row>
    <row r="99" spans="1:11" ht="29.25" customHeight="1">
      <c r="A99" s="216"/>
      <c r="B99" s="209"/>
      <c r="C99" s="217"/>
      <c r="D99" s="52">
        <v>2016</v>
      </c>
      <c r="E99" s="54">
        <f t="shared" si="8"/>
        <v>952526</v>
      </c>
      <c r="F99" s="54">
        <v>952526</v>
      </c>
      <c r="G99" s="54"/>
      <c r="H99" s="54"/>
      <c r="I99" s="54"/>
      <c r="J99" s="153"/>
      <c r="K99" s="151"/>
    </row>
    <row r="100" spans="1:11" ht="22.5" customHeight="1">
      <c r="A100" s="212" t="s">
        <v>334</v>
      </c>
      <c r="B100" s="192" t="s">
        <v>336</v>
      </c>
      <c r="C100" s="154" t="s">
        <v>43</v>
      </c>
      <c r="D100" s="52" t="s">
        <v>395</v>
      </c>
      <c r="E100" s="54">
        <f t="shared" si="8"/>
        <v>2857596</v>
      </c>
      <c r="F100" s="54">
        <f>F101+F102+F103</f>
        <v>2857596</v>
      </c>
      <c r="G100" s="54">
        <f>G101+G102+G103</f>
        <v>0</v>
      </c>
      <c r="H100" s="54">
        <f>H101+H102+H103</f>
        <v>0</v>
      </c>
      <c r="I100" s="54">
        <f>I101+I102+I103</f>
        <v>0</v>
      </c>
      <c r="J100" s="150" t="s">
        <v>343</v>
      </c>
      <c r="K100" s="150"/>
    </row>
    <row r="101" spans="1:11" ht="22.5" customHeight="1">
      <c r="A101" s="213"/>
      <c r="B101" s="160"/>
      <c r="C101" s="155"/>
      <c r="D101" s="52">
        <v>2014</v>
      </c>
      <c r="E101" s="54">
        <f t="shared" si="8"/>
        <v>952532</v>
      </c>
      <c r="F101" s="54">
        <v>952532</v>
      </c>
      <c r="G101" s="54"/>
      <c r="H101" s="54"/>
      <c r="I101" s="54"/>
      <c r="J101" s="151"/>
      <c r="K101" s="151"/>
    </row>
    <row r="102" spans="1:11" ht="22.5" customHeight="1">
      <c r="A102" s="213"/>
      <c r="B102" s="160"/>
      <c r="C102" s="155"/>
      <c r="D102" s="52">
        <v>2015</v>
      </c>
      <c r="E102" s="54">
        <f t="shared" si="8"/>
        <v>952532</v>
      </c>
      <c r="F102" s="54">
        <v>952532</v>
      </c>
      <c r="G102" s="54"/>
      <c r="H102" s="54"/>
      <c r="I102" s="54"/>
      <c r="J102" s="151"/>
      <c r="K102" s="151"/>
    </row>
    <row r="103" spans="1:11" ht="22.5" customHeight="1">
      <c r="A103" s="214"/>
      <c r="B103" s="161"/>
      <c r="C103" s="156"/>
      <c r="D103" s="52">
        <v>2016</v>
      </c>
      <c r="E103" s="54">
        <f t="shared" si="8"/>
        <v>952532</v>
      </c>
      <c r="F103" s="54">
        <v>952532</v>
      </c>
      <c r="G103" s="54"/>
      <c r="H103" s="54"/>
      <c r="I103" s="54"/>
      <c r="J103" s="162"/>
      <c r="K103" s="162"/>
    </row>
    <row r="104" spans="1:11" ht="15" hidden="1">
      <c r="A104" s="154"/>
      <c r="B104" s="215"/>
      <c r="C104" s="154"/>
      <c r="D104" s="52"/>
      <c r="E104" s="54"/>
      <c r="F104" s="54"/>
      <c r="G104" s="54"/>
      <c r="H104" s="54"/>
      <c r="I104" s="54"/>
      <c r="J104" s="150"/>
      <c r="K104" s="150"/>
    </row>
    <row r="105" spans="1:11" ht="15" hidden="1">
      <c r="A105" s="155"/>
      <c r="B105" s="187"/>
      <c r="C105" s="155"/>
      <c r="D105" s="52"/>
      <c r="E105" s="54"/>
      <c r="F105" s="54"/>
      <c r="G105" s="54"/>
      <c r="H105" s="54"/>
      <c r="I105" s="54"/>
      <c r="J105" s="210"/>
      <c r="K105" s="155"/>
    </row>
    <row r="106" spans="1:11" ht="15" hidden="1">
      <c r="A106" s="155"/>
      <c r="B106" s="187"/>
      <c r="C106" s="155"/>
      <c r="D106" s="52"/>
      <c r="E106" s="54"/>
      <c r="F106" s="54"/>
      <c r="G106" s="54"/>
      <c r="H106" s="54"/>
      <c r="I106" s="54"/>
      <c r="J106" s="210"/>
      <c r="K106" s="155"/>
    </row>
    <row r="107" spans="1:11" ht="15" hidden="1">
      <c r="A107" s="156"/>
      <c r="B107" s="188"/>
      <c r="C107" s="156"/>
      <c r="D107" s="52"/>
      <c r="E107" s="54"/>
      <c r="F107" s="54"/>
      <c r="G107" s="54"/>
      <c r="H107" s="54"/>
      <c r="I107" s="54"/>
      <c r="J107" s="211"/>
      <c r="K107" s="156"/>
    </row>
  </sheetData>
  <sheetProtection/>
  <mergeCells count="132">
    <mergeCell ref="K76:K79"/>
    <mergeCell ref="K80:K83"/>
    <mergeCell ref="K84:K87"/>
    <mergeCell ref="K64:K67"/>
    <mergeCell ref="B64:B67"/>
    <mergeCell ref="A64:A67"/>
    <mergeCell ref="C64:C67"/>
    <mergeCell ref="A68:A71"/>
    <mergeCell ref="B68:B71"/>
    <mergeCell ref="C68:C71"/>
    <mergeCell ref="A24:A27"/>
    <mergeCell ref="B24:B27"/>
    <mergeCell ref="C24:C27"/>
    <mergeCell ref="C48:C51"/>
    <mergeCell ref="B36:B39"/>
    <mergeCell ref="C36:C39"/>
    <mergeCell ref="A32:A35"/>
    <mergeCell ref="B32:B35"/>
    <mergeCell ref="C32:C35"/>
    <mergeCell ref="A28:A31"/>
    <mergeCell ref="J48:J51"/>
    <mergeCell ref="K12:K15"/>
    <mergeCell ref="J16:J19"/>
    <mergeCell ref="K16:K19"/>
    <mergeCell ref="J12:J15"/>
    <mergeCell ref="A8:B11"/>
    <mergeCell ref="A16:A19"/>
    <mergeCell ref="B16:B19"/>
    <mergeCell ref="C16:C19"/>
    <mergeCell ref="C20:C23"/>
    <mergeCell ref="J20:J23"/>
    <mergeCell ref="J24:J27"/>
    <mergeCell ref="A3:J3"/>
    <mergeCell ref="A6:A7"/>
    <mergeCell ref="B6:B7"/>
    <mergeCell ref="C6:C7"/>
    <mergeCell ref="D6:I6"/>
    <mergeCell ref="J6:J7"/>
    <mergeCell ref="B20:B23"/>
    <mergeCell ref="A20:A23"/>
    <mergeCell ref="K6:K7"/>
    <mergeCell ref="C8:C11"/>
    <mergeCell ref="J8:J11"/>
    <mergeCell ref="K8:K11"/>
    <mergeCell ref="A12:A15"/>
    <mergeCell ref="B12:B15"/>
    <mergeCell ref="C12:C15"/>
    <mergeCell ref="J68:J71"/>
    <mergeCell ref="A72:A75"/>
    <mergeCell ref="B72:B75"/>
    <mergeCell ref="C72:C75"/>
    <mergeCell ref="J72:J75"/>
    <mergeCell ref="A76:A79"/>
    <mergeCell ref="B76:B79"/>
    <mergeCell ref="C76:C79"/>
    <mergeCell ref="J76:J79"/>
    <mergeCell ref="A80:A83"/>
    <mergeCell ref="B80:B83"/>
    <mergeCell ref="C80:C83"/>
    <mergeCell ref="J80:J83"/>
    <mergeCell ref="A84:A87"/>
    <mergeCell ref="B84:B87"/>
    <mergeCell ref="C84:C87"/>
    <mergeCell ref="J84:J87"/>
    <mergeCell ref="A88:A91"/>
    <mergeCell ref="C88:C91"/>
    <mergeCell ref="J88:J91"/>
    <mergeCell ref="B88:B89"/>
    <mergeCell ref="B90:B91"/>
    <mergeCell ref="A96:A99"/>
    <mergeCell ref="C96:C99"/>
    <mergeCell ref="J96:J99"/>
    <mergeCell ref="K96:K99"/>
    <mergeCell ref="B97:B99"/>
    <mergeCell ref="A92:A95"/>
    <mergeCell ref="B92:B95"/>
    <mergeCell ref="C92:C95"/>
    <mergeCell ref="J92:J95"/>
    <mergeCell ref="A100:A103"/>
    <mergeCell ref="B100:B103"/>
    <mergeCell ref="C100:C103"/>
    <mergeCell ref="A104:A107"/>
    <mergeCell ref="B104:B107"/>
    <mergeCell ref="C104:C107"/>
    <mergeCell ref="K104:K107"/>
    <mergeCell ref="J104:J107"/>
    <mergeCell ref="J100:J103"/>
    <mergeCell ref="K56:K59"/>
    <mergeCell ref="K60:K63"/>
    <mergeCell ref="K92:K95"/>
    <mergeCell ref="J64:J67"/>
    <mergeCell ref="K68:K71"/>
    <mergeCell ref="K72:K75"/>
    <mergeCell ref="K88:K91"/>
    <mergeCell ref="K100:K103"/>
    <mergeCell ref="K20:K23"/>
    <mergeCell ref="K24:K27"/>
    <mergeCell ref="K28:K31"/>
    <mergeCell ref="K32:K35"/>
    <mergeCell ref="K36:K39"/>
    <mergeCell ref="K52:K55"/>
    <mergeCell ref="K40:K43"/>
    <mergeCell ref="K44:K47"/>
    <mergeCell ref="K48:K51"/>
    <mergeCell ref="B28:B31"/>
    <mergeCell ref="C28:C31"/>
    <mergeCell ref="J28:J31"/>
    <mergeCell ref="J44:J47"/>
    <mergeCell ref="A40:A43"/>
    <mergeCell ref="B40:B43"/>
    <mergeCell ref="C40:C43"/>
    <mergeCell ref="J40:J43"/>
    <mergeCell ref="J32:J35"/>
    <mergeCell ref="A36:A39"/>
    <mergeCell ref="C52:C55"/>
    <mergeCell ref="B48:B51"/>
    <mergeCell ref="A56:A59"/>
    <mergeCell ref="B56:B59"/>
    <mergeCell ref="C56:C59"/>
    <mergeCell ref="A44:A47"/>
    <mergeCell ref="B44:B47"/>
    <mergeCell ref="C44:C47"/>
    <mergeCell ref="J52:J55"/>
    <mergeCell ref="J36:J39"/>
    <mergeCell ref="A60:A63"/>
    <mergeCell ref="B60:B63"/>
    <mergeCell ref="C60:C63"/>
    <mergeCell ref="J60:J63"/>
    <mergeCell ref="A48:A51"/>
    <mergeCell ref="J56:J59"/>
    <mergeCell ref="A52:A55"/>
    <mergeCell ref="B52:B55"/>
  </mergeCells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X17"/>
  <sheetViews>
    <sheetView zoomScalePageLayoutView="0" workbookViewId="0" topLeftCell="A17">
      <selection activeCell="F21" sqref="F21"/>
    </sheetView>
  </sheetViews>
  <sheetFormatPr defaultColWidth="9.140625" defaultRowHeight="15"/>
  <cols>
    <col min="1" max="1" width="9.140625" style="50" customWidth="1"/>
    <col min="2" max="2" width="33.421875" style="50" customWidth="1"/>
    <col min="3" max="12" width="9.140625" style="50" customWidth="1"/>
    <col min="13" max="22" width="0" style="50" hidden="1" customWidth="1"/>
    <col min="23" max="23" width="11.7109375" style="50" customWidth="1"/>
    <col min="24" max="24" width="19.57421875" style="50" customWidth="1"/>
    <col min="25" max="16384" width="9.140625" style="50" customWidth="1"/>
  </cols>
  <sheetData>
    <row r="1" spans="1:24" ht="15.7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 t="s">
        <v>21</v>
      </c>
      <c r="V1" s="56"/>
      <c r="W1" s="176" t="s">
        <v>185</v>
      </c>
      <c r="X1" s="177"/>
    </row>
    <row r="2" spans="1:24" ht="34.5" customHeight="1">
      <c r="A2" s="163" t="s">
        <v>186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55"/>
    </row>
    <row r="3" ht="15">
      <c r="A3" s="59"/>
    </row>
    <row r="4" spans="1:24" ht="21" customHeight="1">
      <c r="A4" s="128" t="s">
        <v>410</v>
      </c>
      <c r="B4" s="128" t="s">
        <v>421</v>
      </c>
      <c r="C4" s="128" t="s">
        <v>411</v>
      </c>
      <c r="D4" s="128" t="s">
        <v>0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5" t="s">
        <v>414</v>
      </c>
      <c r="X4" s="128" t="s">
        <v>429</v>
      </c>
    </row>
    <row r="5" spans="1:24" ht="15">
      <c r="A5" s="128"/>
      <c r="B5" s="128"/>
      <c r="C5" s="128"/>
      <c r="D5" s="49">
        <v>2012</v>
      </c>
      <c r="E5" s="137">
        <v>2013</v>
      </c>
      <c r="F5" s="138"/>
      <c r="G5" s="131">
        <v>2014</v>
      </c>
      <c r="H5" s="131"/>
      <c r="I5" s="131">
        <v>2015</v>
      </c>
      <c r="J5" s="131"/>
      <c r="K5" s="131">
        <v>2016</v>
      </c>
      <c r="L5" s="131"/>
      <c r="M5" s="131">
        <v>2017</v>
      </c>
      <c r="N5" s="131"/>
      <c r="O5" s="131">
        <v>2018</v>
      </c>
      <c r="P5" s="131"/>
      <c r="Q5" s="131">
        <v>2019</v>
      </c>
      <c r="R5" s="131"/>
      <c r="S5" s="131">
        <v>2020</v>
      </c>
      <c r="T5" s="131"/>
      <c r="U5" s="131" t="s">
        <v>402</v>
      </c>
      <c r="V5" s="131"/>
      <c r="W5" s="126"/>
      <c r="X5" s="128"/>
    </row>
    <row r="6" spans="1:24" ht="42" customHeight="1">
      <c r="A6" s="128"/>
      <c r="B6" s="128"/>
      <c r="C6" s="128"/>
      <c r="D6" s="49" t="s">
        <v>412</v>
      </c>
      <c r="E6" s="49" t="s">
        <v>413</v>
      </c>
      <c r="F6" s="49" t="s">
        <v>412</v>
      </c>
      <c r="G6" s="49" t="s">
        <v>413</v>
      </c>
      <c r="H6" s="49" t="s">
        <v>412</v>
      </c>
      <c r="I6" s="49" t="s">
        <v>413</v>
      </c>
      <c r="J6" s="49" t="s">
        <v>412</v>
      </c>
      <c r="K6" s="49" t="s">
        <v>413</v>
      </c>
      <c r="L6" s="49" t="s">
        <v>412</v>
      </c>
      <c r="M6" s="49" t="s">
        <v>413</v>
      </c>
      <c r="N6" s="49" t="s">
        <v>412</v>
      </c>
      <c r="O6" s="49" t="s">
        <v>413</v>
      </c>
      <c r="P6" s="49" t="s">
        <v>412</v>
      </c>
      <c r="Q6" s="49" t="s">
        <v>413</v>
      </c>
      <c r="R6" s="49" t="s">
        <v>412</v>
      </c>
      <c r="S6" s="49" t="s">
        <v>413</v>
      </c>
      <c r="T6" s="49" t="s">
        <v>412</v>
      </c>
      <c r="U6" s="49" t="s">
        <v>413</v>
      </c>
      <c r="V6" s="49" t="s">
        <v>412</v>
      </c>
      <c r="W6" s="127"/>
      <c r="X6" s="128"/>
    </row>
    <row r="7" spans="1:24" ht="26.25" customHeight="1">
      <c r="A7" s="49"/>
      <c r="B7" s="133" t="s">
        <v>187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23.25" customHeight="1">
      <c r="A8" s="49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4" ht="52.5" customHeight="1">
      <c r="A9" s="49" t="s">
        <v>396</v>
      </c>
      <c r="B9" s="40" t="s">
        <v>217</v>
      </c>
      <c r="C9" s="49" t="s">
        <v>2</v>
      </c>
      <c r="D9" s="40">
        <v>28.9</v>
      </c>
      <c r="E9" s="40">
        <v>30</v>
      </c>
      <c r="F9" s="40"/>
      <c r="G9" s="40">
        <v>30</v>
      </c>
      <c r="H9" s="40"/>
      <c r="I9" s="40">
        <v>30</v>
      </c>
      <c r="J9" s="40"/>
      <c r="K9" s="40">
        <v>30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218</v>
      </c>
      <c r="X9" s="40"/>
    </row>
    <row r="10" spans="1:24" ht="61.5" customHeight="1">
      <c r="A10" s="49" t="s">
        <v>397</v>
      </c>
      <c r="B10" s="40" t="s">
        <v>231</v>
      </c>
      <c r="C10" s="49" t="s">
        <v>39</v>
      </c>
      <c r="D10" s="40">
        <v>20</v>
      </c>
      <c r="E10" s="40">
        <v>20</v>
      </c>
      <c r="F10" s="40"/>
      <c r="G10" s="40">
        <v>20</v>
      </c>
      <c r="H10" s="40"/>
      <c r="I10" s="40">
        <v>20</v>
      </c>
      <c r="J10" s="40"/>
      <c r="K10" s="40">
        <v>20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218</v>
      </c>
      <c r="X10" s="40"/>
    </row>
    <row r="11" spans="1:24" ht="81" customHeight="1">
      <c r="A11" s="49" t="s">
        <v>424</v>
      </c>
      <c r="B11" s="40" t="s">
        <v>219</v>
      </c>
      <c r="C11" s="49" t="s">
        <v>2</v>
      </c>
      <c r="D11" s="40">
        <v>80.3</v>
      </c>
      <c r="E11" s="40">
        <v>100</v>
      </c>
      <c r="F11" s="40"/>
      <c r="G11" s="40">
        <v>100</v>
      </c>
      <c r="H11" s="40"/>
      <c r="I11" s="40">
        <v>100</v>
      </c>
      <c r="J11" s="40"/>
      <c r="K11" s="40">
        <v>100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218</v>
      </c>
      <c r="X11" s="40"/>
    </row>
    <row r="12" spans="1:24" ht="78" customHeight="1">
      <c r="A12" s="49" t="s">
        <v>4</v>
      </c>
      <c r="B12" s="40" t="s">
        <v>188</v>
      </c>
      <c r="C12" s="49" t="s">
        <v>2</v>
      </c>
      <c r="D12" s="40">
        <v>0</v>
      </c>
      <c r="E12" s="40">
        <v>0</v>
      </c>
      <c r="F12" s="40"/>
      <c r="G12" s="40">
        <v>100</v>
      </c>
      <c r="H12" s="40"/>
      <c r="I12" s="40">
        <v>100</v>
      </c>
      <c r="J12" s="40"/>
      <c r="K12" s="40">
        <v>100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218</v>
      </c>
      <c r="X12" s="40"/>
    </row>
    <row r="13" spans="1:24" ht="15">
      <c r="A13" s="49" t="s">
        <v>419</v>
      </c>
      <c r="B13" s="133" t="s">
        <v>422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</row>
    <row r="14" spans="1:24" ht="26.25" customHeight="1">
      <c r="A14" s="49" t="s">
        <v>401</v>
      </c>
      <c r="B14" s="132" t="s">
        <v>220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1:24" ht="78" customHeight="1">
      <c r="A15" s="49" t="s">
        <v>415</v>
      </c>
      <c r="B15" s="25" t="s">
        <v>230</v>
      </c>
      <c r="C15" s="25" t="s">
        <v>221</v>
      </c>
      <c r="D15" s="25">
        <v>1</v>
      </c>
      <c r="E15" s="25">
        <v>1</v>
      </c>
      <c r="F15" s="25"/>
      <c r="G15" s="25">
        <v>1</v>
      </c>
      <c r="H15" s="25"/>
      <c r="I15" s="25">
        <v>1</v>
      </c>
      <c r="J15" s="25"/>
      <c r="K15" s="25">
        <v>1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218</v>
      </c>
      <c r="X15" s="40"/>
    </row>
    <row r="16" spans="1:24" ht="15" hidden="1">
      <c r="A16" s="49"/>
      <c r="B16" s="25" t="s">
        <v>402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ht="50.25" customHeight="1">
      <c r="A17" s="49" t="s">
        <v>416</v>
      </c>
      <c r="B17" s="25" t="s">
        <v>222</v>
      </c>
      <c r="C17" s="25" t="s">
        <v>221</v>
      </c>
      <c r="D17" s="25">
        <v>1</v>
      </c>
      <c r="E17" s="25">
        <v>1</v>
      </c>
      <c r="F17" s="25"/>
      <c r="G17" s="25">
        <v>1</v>
      </c>
      <c r="H17" s="25"/>
      <c r="I17" s="25">
        <v>1</v>
      </c>
      <c r="J17" s="25"/>
      <c r="K17" s="25">
        <v>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40" t="s">
        <v>218</v>
      </c>
      <c r="X17" s="40"/>
    </row>
  </sheetData>
  <sheetProtection/>
  <mergeCells count="21">
    <mergeCell ref="G5:H5"/>
    <mergeCell ref="W4:W6"/>
    <mergeCell ref="B8:X8"/>
    <mergeCell ref="U5:V5"/>
    <mergeCell ref="B14:X14"/>
    <mergeCell ref="I5:J5"/>
    <mergeCell ref="K5:L5"/>
    <mergeCell ref="M5:N5"/>
    <mergeCell ref="O5:P5"/>
    <mergeCell ref="B13:X13"/>
    <mergeCell ref="E5:F5"/>
    <mergeCell ref="X4:X6"/>
    <mergeCell ref="Q5:R5"/>
    <mergeCell ref="D4:V4"/>
    <mergeCell ref="B7:X7"/>
    <mergeCell ref="W1:X1"/>
    <mergeCell ref="A2:W2"/>
    <mergeCell ref="A4:A6"/>
    <mergeCell ref="B4:B6"/>
    <mergeCell ref="C4:C6"/>
    <mergeCell ref="S5:T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K1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2.421875" style="50" customWidth="1"/>
    <col min="2" max="2" width="11.57421875" style="50" customWidth="1"/>
    <col min="3" max="3" width="15.28125" style="50" customWidth="1"/>
    <col min="4" max="4" width="12.7109375" style="50" customWidth="1"/>
    <col min="5" max="5" width="13.00390625" style="50" customWidth="1"/>
    <col min="6" max="6" width="12.140625" style="50" customWidth="1"/>
    <col min="7" max="11" width="0" style="50" hidden="1" customWidth="1"/>
    <col min="12" max="16384" width="9.140625" style="50" customWidth="1"/>
  </cols>
  <sheetData>
    <row r="1" spans="5:6" ht="15.75">
      <c r="E1" s="224" t="s">
        <v>189</v>
      </c>
      <c r="F1" s="224"/>
    </row>
    <row r="3" spans="1:11" ht="63" customHeight="1">
      <c r="A3" s="163" t="s">
        <v>190</v>
      </c>
      <c r="B3" s="163"/>
      <c r="C3" s="163"/>
      <c r="D3" s="163"/>
      <c r="E3" s="163"/>
      <c r="F3" s="163"/>
      <c r="G3" s="163"/>
      <c r="H3" s="163"/>
      <c r="I3" s="163"/>
      <c r="J3" s="163"/>
      <c r="K3" s="58"/>
    </row>
    <row r="5" spans="1:11" ht="30" customHeight="1">
      <c r="A5" s="225"/>
      <c r="B5" s="179"/>
      <c r="C5" s="228" t="s">
        <v>441</v>
      </c>
      <c r="D5" s="229"/>
      <c r="E5" s="229"/>
      <c r="F5" s="229"/>
      <c r="G5" s="229"/>
      <c r="H5" s="229"/>
      <c r="I5" s="229"/>
      <c r="J5" s="229"/>
      <c r="K5" s="230"/>
    </row>
    <row r="6" spans="1:11" ht="22.5" customHeight="1">
      <c r="A6" s="226"/>
      <c r="B6" s="180"/>
      <c r="C6" s="84" t="s">
        <v>395</v>
      </c>
      <c r="D6" s="84">
        <v>2014</v>
      </c>
      <c r="E6" s="84">
        <v>2015</v>
      </c>
      <c r="F6" s="84">
        <v>2016</v>
      </c>
      <c r="G6" s="84">
        <v>2017</v>
      </c>
      <c r="H6" s="84">
        <v>2018</v>
      </c>
      <c r="I6" s="84">
        <v>2019</v>
      </c>
      <c r="J6" s="84">
        <v>2020</v>
      </c>
      <c r="K6" s="85" t="s">
        <v>402</v>
      </c>
    </row>
    <row r="7" spans="1:11" ht="25.5" customHeight="1">
      <c r="A7" s="227"/>
      <c r="B7" s="181"/>
      <c r="C7" s="83" t="s">
        <v>440</v>
      </c>
      <c r="D7" s="83" t="s">
        <v>440</v>
      </c>
      <c r="E7" s="83" t="s">
        <v>440</v>
      </c>
      <c r="F7" s="83" t="s">
        <v>440</v>
      </c>
      <c r="G7" s="83" t="s">
        <v>440</v>
      </c>
      <c r="H7" s="83" t="s">
        <v>440</v>
      </c>
      <c r="I7" s="83" t="s">
        <v>440</v>
      </c>
      <c r="J7" s="83" t="s">
        <v>440</v>
      </c>
      <c r="K7" s="83" t="s">
        <v>440</v>
      </c>
    </row>
    <row r="8" spans="1:11" ht="27" customHeight="1">
      <c r="A8" s="147" t="s">
        <v>193</v>
      </c>
      <c r="B8" s="86" t="s">
        <v>395</v>
      </c>
      <c r="C8" s="87">
        <v>74007885</v>
      </c>
      <c r="D8" s="92">
        <f>D9+D12</f>
        <v>23896977</v>
      </c>
      <c r="E8" s="92">
        <f>E9+E12</f>
        <v>24657885</v>
      </c>
      <c r="F8" s="92">
        <f>F9+F12</f>
        <v>25453023</v>
      </c>
      <c r="G8" s="89"/>
      <c r="H8" s="86"/>
      <c r="I8" s="86"/>
      <c r="J8" s="86"/>
      <c r="K8" s="86"/>
    </row>
    <row r="9" spans="1:11" ht="15">
      <c r="A9" s="147"/>
      <c r="B9" s="89" t="s">
        <v>393</v>
      </c>
      <c r="C9" s="88">
        <v>73827885</v>
      </c>
      <c r="D9" s="88">
        <v>23839977</v>
      </c>
      <c r="E9" s="88">
        <v>24597885</v>
      </c>
      <c r="F9" s="88">
        <v>25390023</v>
      </c>
      <c r="G9" s="89"/>
      <c r="H9" s="86"/>
      <c r="I9" s="86"/>
      <c r="J9" s="86"/>
      <c r="K9" s="86"/>
    </row>
    <row r="10" spans="1:11" ht="15">
      <c r="A10" s="147"/>
      <c r="B10" s="89" t="s">
        <v>391</v>
      </c>
      <c r="C10" s="88">
        <v>0</v>
      </c>
      <c r="D10" s="88">
        <v>0</v>
      </c>
      <c r="E10" s="88">
        <v>0</v>
      </c>
      <c r="F10" s="88">
        <v>0</v>
      </c>
      <c r="G10" s="89"/>
      <c r="H10" s="86"/>
      <c r="I10" s="86"/>
      <c r="J10" s="86"/>
      <c r="K10" s="86"/>
    </row>
    <row r="11" spans="1:11" ht="15">
      <c r="A11" s="147"/>
      <c r="B11" s="89" t="s">
        <v>392</v>
      </c>
      <c r="C11" s="88">
        <v>0</v>
      </c>
      <c r="D11" s="88">
        <v>0</v>
      </c>
      <c r="E11" s="88">
        <v>0</v>
      </c>
      <c r="F11" s="88">
        <v>0</v>
      </c>
      <c r="G11" s="89"/>
      <c r="H11" s="86"/>
      <c r="I11" s="86"/>
      <c r="J11" s="86"/>
      <c r="K11" s="86"/>
    </row>
    <row r="12" spans="1:11" ht="23.25" customHeight="1">
      <c r="A12" s="147"/>
      <c r="B12" s="89" t="s">
        <v>394</v>
      </c>
      <c r="C12" s="88">
        <v>180000</v>
      </c>
      <c r="D12" s="88">
        <v>57000</v>
      </c>
      <c r="E12" s="88">
        <v>60000</v>
      </c>
      <c r="F12" s="88">
        <v>63000</v>
      </c>
      <c r="G12" s="89"/>
      <c r="H12" s="86"/>
      <c r="I12" s="86"/>
      <c r="J12" s="86"/>
      <c r="K12" s="86"/>
    </row>
    <row r="13" spans="1:11" ht="28.5" customHeight="1">
      <c r="A13" s="147" t="s">
        <v>11</v>
      </c>
      <c r="B13" s="86" t="s">
        <v>395</v>
      </c>
      <c r="C13" s="87">
        <v>74007885</v>
      </c>
      <c r="D13" s="88">
        <v>23896977</v>
      </c>
      <c r="E13" s="88">
        <v>24657885</v>
      </c>
      <c r="F13" s="88">
        <v>25453023</v>
      </c>
      <c r="G13" s="89"/>
      <c r="H13" s="86"/>
      <c r="I13" s="86"/>
      <c r="J13" s="86"/>
      <c r="K13" s="86"/>
    </row>
    <row r="14" spans="1:11" ht="15">
      <c r="A14" s="147"/>
      <c r="B14" s="89" t="s">
        <v>393</v>
      </c>
      <c r="C14" s="88">
        <v>73827885</v>
      </c>
      <c r="D14" s="88">
        <v>23839977</v>
      </c>
      <c r="E14" s="88">
        <v>24597885</v>
      </c>
      <c r="F14" s="88">
        <v>25390023</v>
      </c>
      <c r="G14" s="89"/>
      <c r="H14" s="86"/>
      <c r="I14" s="86"/>
      <c r="J14" s="86"/>
      <c r="K14" s="86"/>
    </row>
    <row r="15" spans="1:11" ht="15">
      <c r="A15" s="147"/>
      <c r="B15" s="89" t="s">
        <v>391</v>
      </c>
      <c r="C15" s="88">
        <v>0</v>
      </c>
      <c r="D15" s="88">
        <v>0</v>
      </c>
      <c r="E15" s="88">
        <v>0</v>
      </c>
      <c r="F15" s="88">
        <v>0</v>
      </c>
      <c r="G15" s="89"/>
      <c r="H15" s="86"/>
      <c r="I15" s="86"/>
      <c r="J15" s="86"/>
      <c r="K15" s="86"/>
    </row>
    <row r="16" spans="1:11" ht="15">
      <c r="A16" s="147"/>
      <c r="B16" s="89" t="s">
        <v>392</v>
      </c>
      <c r="C16" s="88">
        <v>0</v>
      </c>
      <c r="D16" s="88">
        <v>0</v>
      </c>
      <c r="E16" s="88">
        <v>0</v>
      </c>
      <c r="F16" s="88">
        <v>0</v>
      </c>
      <c r="G16" s="89"/>
      <c r="H16" s="86"/>
      <c r="I16" s="86"/>
      <c r="J16" s="86"/>
      <c r="K16" s="86"/>
    </row>
    <row r="17" spans="1:11" ht="29.25" customHeight="1">
      <c r="A17" s="147"/>
      <c r="B17" s="89" t="s">
        <v>394</v>
      </c>
      <c r="C17" s="88">
        <v>180000</v>
      </c>
      <c r="D17" s="88">
        <v>57000</v>
      </c>
      <c r="E17" s="88">
        <v>60000</v>
      </c>
      <c r="F17" s="88">
        <v>63000</v>
      </c>
      <c r="G17" s="89"/>
      <c r="H17" s="86"/>
      <c r="I17" s="86"/>
      <c r="J17" s="86"/>
      <c r="K17" s="86"/>
    </row>
  </sheetData>
  <sheetProtection/>
  <mergeCells count="7">
    <mergeCell ref="A13:A17"/>
    <mergeCell ref="E1:F1"/>
    <mergeCell ref="A3:J3"/>
    <mergeCell ref="A5:A7"/>
    <mergeCell ref="B5:B7"/>
    <mergeCell ref="C5:K5"/>
    <mergeCell ref="A8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55"/>
  <sheetViews>
    <sheetView zoomScalePageLayoutView="0" workbookViewId="0" topLeftCell="A1">
      <selection activeCell="B61" sqref="B61"/>
    </sheetView>
  </sheetViews>
  <sheetFormatPr defaultColWidth="9.140625" defaultRowHeight="15"/>
  <cols>
    <col min="1" max="1" width="9.140625" style="50" customWidth="1"/>
    <col min="2" max="2" width="26.57421875" style="50" customWidth="1"/>
    <col min="3" max="4" width="9.140625" style="50" customWidth="1"/>
    <col min="5" max="5" width="14.7109375" style="50" customWidth="1"/>
    <col min="6" max="6" width="13.8515625" style="50" customWidth="1"/>
    <col min="7" max="7" width="13.140625" style="50" customWidth="1"/>
    <col min="8" max="8" width="12.28125" style="50" customWidth="1"/>
    <col min="9" max="9" width="13.57421875" style="50" customWidth="1"/>
    <col min="10" max="10" width="14.00390625" style="50" customWidth="1"/>
    <col min="11" max="11" width="16.28125" style="50" customWidth="1"/>
    <col min="12" max="16384" width="9.140625" style="50" customWidth="1"/>
  </cols>
  <sheetData>
    <row r="1" ht="15">
      <c r="I1" s="63" t="s">
        <v>191</v>
      </c>
    </row>
    <row r="2" ht="15.75">
      <c r="F2" s="57"/>
    </row>
    <row r="3" spans="1:11" ht="33.75" customHeight="1">
      <c r="A3" s="163" t="s">
        <v>192</v>
      </c>
      <c r="B3" s="163"/>
      <c r="C3" s="163"/>
      <c r="D3" s="163"/>
      <c r="E3" s="163"/>
      <c r="F3" s="163"/>
      <c r="G3" s="163"/>
      <c r="H3" s="163"/>
      <c r="I3" s="163"/>
      <c r="J3" s="163"/>
      <c r="K3" s="58"/>
    </row>
    <row r="4" spans="1:11" ht="15" hidden="1">
      <c r="A4" s="58"/>
      <c r="B4" s="58"/>
      <c r="C4" s="58"/>
      <c r="D4" s="58"/>
      <c r="E4" s="58"/>
      <c r="F4" s="74" t="e">
        <f>F12-F21-#REF!</f>
        <v>#REF!</v>
      </c>
      <c r="G4" s="58"/>
      <c r="H4" s="58"/>
      <c r="I4" s="58"/>
      <c r="J4" s="58"/>
      <c r="K4" s="58"/>
    </row>
    <row r="5" spans="1:11" ht="15" hidden="1">
      <c r="A5" s="58"/>
      <c r="B5" s="58"/>
      <c r="C5" s="58"/>
      <c r="D5" s="58"/>
      <c r="E5" s="58"/>
      <c r="F5" s="74" t="e">
        <f>F13-F22-#REF!</f>
        <v>#REF!</v>
      </c>
      <c r="G5" s="58"/>
      <c r="H5" s="58"/>
      <c r="I5" s="58"/>
      <c r="J5" s="58"/>
      <c r="K5" s="58"/>
    </row>
    <row r="6" spans="1:11" ht="15" hidden="1">
      <c r="A6" s="58"/>
      <c r="B6" s="58"/>
      <c r="C6" s="58"/>
      <c r="D6" s="58"/>
      <c r="E6" s="64" t="e">
        <f>E11-E20-#REF!</f>
        <v>#REF!</v>
      </c>
      <c r="F6" s="64" t="e">
        <f>F11-F20-#REF!</f>
        <v>#REF!</v>
      </c>
      <c r="G6" s="64" t="e">
        <f>G11-G20-#REF!</f>
        <v>#REF!</v>
      </c>
      <c r="H6" s="65" t="e">
        <f>H11-H20-#REF!</f>
        <v>#REF!</v>
      </c>
      <c r="I6" s="65" t="e">
        <f>I11-I20-#REF!</f>
        <v>#REF!</v>
      </c>
      <c r="J6" s="58"/>
      <c r="K6" s="58"/>
    </row>
    <row r="7" spans="1:11" ht="15" hidden="1">
      <c r="A7" s="58"/>
      <c r="B7" s="58"/>
      <c r="C7" s="58"/>
      <c r="D7" s="58"/>
      <c r="E7" s="58"/>
      <c r="F7" s="74" t="e">
        <f>F14-F23-#REF!</f>
        <v>#REF!</v>
      </c>
      <c r="G7" s="58"/>
      <c r="H7" s="58"/>
      <c r="I7" s="58"/>
      <c r="J7" s="58"/>
      <c r="K7" s="58"/>
    </row>
    <row r="9" spans="1:11" ht="24" customHeight="1">
      <c r="A9" s="157" t="s">
        <v>389</v>
      </c>
      <c r="B9" s="149" t="s">
        <v>437</v>
      </c>
      <c r="C9" s="149" t="s">
        <v>403</v>
      </c>
      <c r="D9" s="149" t="s">
        <v>442</v>
      </c>
      <c r="E9" s="149"/>
      <c r="F9" s="149"/>
      <c r="G9" s="149"/>
      <c r="H9" s="149"/>
      <c r="I9" s="149"/>
      <c r="J9" s="150" t="s">
        <v>417</v>
      </c>
      <c r="K9" s="150" t="s">
        <v>398</v>
      </c>
    </row>
    <row r="10" spans="1:11" ht="33" customHeight="1">
      <c r="A10" s="157"/>
      <c r="B10" s="149"/>
      <c r="C10" s="149"/>
      <c r="D10" s="52" t="s">
        <v>390</v>
      </c>
      <c r="E10" s="52" t="s">
        <v>395</v>
      </c>
      <c r="F10" s="52" t="s">
        <v>393</v>
      </c>
      <c r="G10" s="52" t="s">
        <v>391</v>
      </c>
      <c r="H10" s="52" t="s">
        <v>392</v>
      </c>
      <c r="I10" s="52" t="s">
        <v>394</v>
      </c>
      <c r="J10" s="151"/>
      <c r="K10" s="162"/>
    </row>
    <row r="11" spans="1:11" ht="15">
      <c r="A11" s="157"/>
      <c r="B11" s="164" t="s">
        <v>193</v>
      </c>
      <c r="C11" s="149" t="s">
        <v>43</v>
      </c>
      <c r="D11" s="52" t="s">
        <v>395</v>
      </c>
      <c r="E11" s="53">
        <v>74007885</v>
      </c>
      <c r="F11" s="53">
        <v>73827885</v>
      </c>
      <c r="G11" s="53">
        <v>0</v>
      </c>
      <c r="H11" s="53">
        <v>0</v>
      </c>
      <c r="I11" s="53">
        <v>180000</v>
      </c>
      <c r="J11" s="150"/>
      <c r="K11" s="150" t="s">
        <v>227</v>
      </c>
    </row>
    <row r="12" spans="1:11" ht="15">
      <c r="A12" s="157"/>
      <c r="B12" s="164"/>
      <c r="C12" s="149"/>
      <c r="D12" s="52">
        <v>2014</v>
      </c>
      <c r="E12" s="54">
        <f>F12+G12+H12+I12</f>
        <v>23896977</v>
      </c>
      <c r="F12" s="54">
        <v>23839977</v>
      </c>
      <c r="G12" s="54">
        <v>0</v>
      </c>
      <c r="H12" s="54">
        <v>0</v>
      </c>
      <c r="I12" s="54">
        <v>57000</v>
      </c>
      <c r="J12" s="151"/>
      <c r="K12" s="151"/>
    </row>
    <row r="13" spans="1:11" ht="15">
      <c r="A13" s="157"/>
      <c r="B13" s="164"/>
      <c r="C13" s="149"/>
      <c r="D13" s="52">
        <v>2015</v>
      </c>
      <c r="E13" s="54">
        <f>F13+G13+H13+I13</f>
        <v>24657885</v>
      </c>
      <c r="F13" s="54">
        <v>24597885</v>
      </c>
      <c r="G13" s="54">
        <v>0</v>
      </c>
      <c r="H13" s="54">
        <v>0</v>
      </c>
      <c r="I13" s="54">
        <v>60000</v>
      </c>
      <c r="J13" s="151"/>
      <c r="K13" s="151"/>
    </row>
    <row r="14" spans="1:11" ht="15">
      <c r="A14" s="157"/>
      <c r="B14" s="164"/>
      <c r="C14" s="149"/>
      <c r="D14" s="52">
        <v>2016</v>
      </c>
      <c r="E14" s="54">
        <f>F14+G14+H14+I14</f>
        <v>25453023</v>
      </c>
      <c r="F14" s="54">
        <v>25390023</v>
      </c>
      <c r="G14" s="54">
        <v>0</v>
      </c>
      <c r="H14" s="54">
        <v>0</v>
      </c>
      <c r="I14" s="54">
        <v>63000</v>
      </c>
      <c r="J14" s="151"/>
      <c r="K14" s="151"/>
    </row>
    <row r="15" spans="1:11" ht="15" hidden="1">
      <c r="A15" s="157"/>
      <c r="B15" s="164"/>
      <c r="C15" s="149"/>
      <c r="D15" s="52">
        <v>2017</v>
      </c>
      <c r="E15" s="54"/>
      <c r="F15" s="54"/>
      <c r="G15" s="54"/>
      <c r="H15" s="54"/>
      <c r="I15" s="54"/>
      <c r="J15" s="151"/>
      <c r="K15" s="151"/>
    </row>
    <row r="16" spans="1:11" ht="15" hidden="1">
      <c r="A16" s="157"/>
      <c r="B16" s="164"/>
      <c r="C16" s="149"/>
      <c r="D16" s="52">
        <v>2018</v>
      </c>
      <c r="E16" s="54"/>
      <c r="F16" s="54"/>
      <c r="G16" s="54"/>
      <c r="H16" s="54"/>
      <c r="I16" s="54"/>
      <c r="J16" s="151"/>
      <c r="K16" s="151"/>
    </row>
    <row r="17" spans="1:11" ht="15" hidden="1">
      <c r="A17" s="157"/>
      <c r="B17" s="164"/>
      <c r="C17" s="149"/>
      <c r="D17" s="52">
        <v>2019</v>
      </c>
      <c r="E17" s="54"/>
      <c r="F17" s="54"/>
      <c r="G17" s="54"/>
      <c r="H17" s="54"/>
      <c r="I17" s="54"/>
      <c r="J17" s="151"/>
      <c r="K17" s="151"/>
    </row>
    <row r="18" spans="1:11" ht="15" hidden="1">
      <c r="A18" s="157"/>
      <c r="B18" s="164"/>
      <c r="C18" s="149"/>
      <c r="D18" s="52">
        <v>2020</v>
      </c>
      <c r="E18" s="54"/>
      <c r="F18" s="54"/>
      <c r="G18" s="54"/>
      <c r="H18" s="54"/>
      <c r="I18" s="54"/>
      <c r="J18" s="151"/>
      <c r="K18" s="151"/>
    </row>
    <row r="19" spans="1:11" ht="15" hidden="1">
      <c r="A19" s="157"/>
      <c r="B19" s="164"/>
      <c r="C19" s="149"/>
      <c r="D19" s="59" t="s">
        <v>402</v>
      </c>
      <c r="E19" s="54"/>
      <c r="F19" s="54"/>
      <c r="G19" s="54"/>
      <c r="H19" s="54"/>
      <c r="I19" s="54"/>
      <c r="J19" s="162"/>
      <c r="K19" s="162"/>
    </row>
    <row r="20" spans="1:11" ht="15" customHeight="1">
      <c r="A20" s="157" t="s">
        <v>399</v>
      </c>
      <c r="B20" s="158" t="s">
        <v>223</v>
      </c>
      <c r="C20" s="149" t="s">
        <v>43</v>
      </c>
      <c r="D20" s="52" t="s">
        <v>395</v>
      </c>
      <c r="E20" s="53">
        <f>F20+G20+H20+I20</f>
        <v>74007885</v>
      </c>
      <c r="F20" s="53">
        <f>F21+F22+F23</f>
        <v>73827885</v>
      </c>
      <c r="G20" s="53">
        <f>G21+G22+G23</f>
        <v>0</v>
      </c>
      <c r="H20" s="53">
        <f>H21+H22+H23</f>
        <v>0</v>
      </c>
      <c r="I20" s="53">
        <f>I21+I22+I23</f>
        <v>180000</v>
      </c>
      <c r="J20" s="150"/>
      <c r="K20" s="150" t="s">
        <v>227</v>
      </c>
    </row>
    <row r="21" spans="1:11" ht="15">
      <c r="A21" s="157"/>
      <c r="B21" s="158"/>
      <c r="C21" s="149"/>
      <c r="D21" s="52">
        <v>2014</v>
      </c>
      <c r="E21" s="54">
        <f aca="true" t="shared" si="0" ref="E21:E50">F21+G21+H21+I21</f>
        <v>23896977</v>
      </c>
      <c r="F21" s="54">
        <f aca="true" t="shared" si="1" ref="F21:I23">F30+F39+F48</f>
        <v>23839977</v>
      </c>
      <c r="G21" s="54">
        <f t="shared" si="1"/>
        <v>0</v>
      </c>
      <c r="H21" s="54">
        <f t="shared" si="1"/>
        <v>0</v>
      </c>
      <c r="I21" s="54">
        <f t="shared" si="1"/>
        <v>57000</v>
      </c>
      <c r="J21" s="151"/>
      <c r="K21" s="151"/>
    </row>
    <row r="22" spans="1:11" ht="15">
      <c r="A22" s="157"/>
      <c r="B22" s="158"/>
      <c r="C22" s="149"/>
      <c r="D22" s="52">
        <v>2015</v>
      </c>
      <c r="E22" s="54">
        <f t="shared" si="0"/>
        <v>24657885</v>
      </c>
      <c r="F22" s="54">
        <f t="shared" si="1"/>
        <v>24597885</v>
      </c>
      <c r="G22" s="54">
        <f t="shared" si="1"/>
        <v>0</v>
      </c>
      <c r="H22" s="54">
        <f t="shared" si="1"/>
        <v>0</v>
      </c>
      <c r="I22" s="54">
        <f t="shared" si="1"/>
        <v>60000</v>
      </c>
      <c r="J22" s="151"/>
      <c r="K22" s="151"/>
    </row>
    <row r="23" spans="1:11" ht="15">
      <c r="A23" s="157"/>
      <c r="B23" s="158"/>
      <c r="C23" s="149"/>
      <c r="D23" s="52">
        <v>2016</v>
      </c>
      <c r="E23" s="54">
        <f t="shared" si="0"/>
        <v>25453023</v>
      </c>
      <c r="F23" s="54">
        <f t="shared" si="1"/>
        <v>25390023</v>
      </c>
      <c r="G23" s="54">
        <f t="shared" si="1"/>
        <v>0</v>
      </c>
      <c r="H23" s="54">
        <f t="shared" si="1"/>
        <v>0</v>
      </c>
      <c r="I23" s="54">
        <f t="shared" si="1"/>
        <v>63000</v>
      </c>
      <c r="J23" s="151"/>
      <c r="K23" s="151"/>
    </row>
    <row r="24" spans="1:11" ht="15" customHeight="1" hidden="1">
      <c r="A24" s="157"/>
      <c r="B24" s="158"/>
      <c r="C24" s="149"/>
      <c r="D24" s="52">
        <v>2017</v>
      </c>
      <c r="E24" s="54">
        <f t="shared" si="0"/>
        <v>0</v>
      </c>
      <c r="F24" s="54"/>
      <c r="G24" s="54"/>
      <c r="H24" s="54"/>
      <c r="I24" s="54"/>
      <c r="J24" s="151"/>
      <c r="K24" s="151"/>
    </row>
    <row r="25" spans="1:11" ht="15" customHeight="1" hidden="1">
      <c r="A25" s="157"/>
      <c r="B25" s="158"/>
      <c r="C25" s="149"/>
      <c r="D25" s="52">
        <v>2018</v>
      </c>
      <c r="E25" s="54">
        <f t="shared" si="0"/>
        <v>0</v>
      </c>
      <c r="F25" s="54"/>
      <c r="G25" s="54"/>
      <c r="H25" s="54"/>
      <c r="I25" s="54"/>
      <c r="J25" s="151"/>
      <c r="K25" s="151"/>
    </row>
    <row r="26" spans="1:11" ht="15" customHeight="1" hidden="1">
      <c r="A26" s="157"/>
      <c r="B26" s="158"/>
      <c r="C26" s="149"/>
      <c r="D26" s="52">
        <v>2019</v>
      </c>
      <c r="E26" s="54">
        <f t="shared" si="0"/>
        <v>0</v>
      </c>
      <c r="F26" s="54"/>
      <c r="G26" s="54"/>
      <c r="H26" s="54"/>
      <c r="I26" s="54"/>
      <c r="J26" s="151"/>
      <c r="K26" s="151"/>
    </row>
    <row r="27" spans="1:11" ht="15" customHeight="1" hidden="1">
      <c r="A27" s="157"/>
      <c r="B27" s="158"/>
      <c r="C27" s="149"/>
      <c r="D27" s="52">
        <v>2020</v>
      </c>
      <c r="E27" s="54">
        <f t="shared" si="0"/>
        <v>0</v>
      </c>
      <c r="F27" s="54"/>
      <c r="G27" s="54"/>
      <c r="H27" s="54"/>
      <c r="I27" s="54"/>
      <c r="J27" s="151"/>
      <c r="K27" s="151"/>
    </row>
    <row r="28" spans="1:11" ht="15" customHeight="1" hidden="1">
      <c r="A28" s="157"/>
      <c r="B28" s="158"/>
      <c r="C28" s="149"/>
      <c r="D28" s="75" t="s">
        <v>402</v>
      </c>
      <c r="E28" s="54">
        <f t="shared" si="0"/>
        <v>0</v>
      </c>
      <c r="F28" s="54"/>
      <c r="G28" s="54"/>
      <c r="H28" s="54"/>
      <c r="I28" s="54"/>
      <c r="J28" s="162"/>
      <c r="K28" s="162"/>
    </row>
    <row r="29" spans="1:11" ht="25.5" customHeight="1">
      <c r="A29" s="157" t="s">
        <v>396</v>
      </c>
      <c r="B29" s="158" t="s">
        <v>224</v>
      </c>
      <c r="C29" s="149" t="s">
        <v>43</v>
      </c>
      <c r="D29" s="52" t="s">
        <v>395</v>
      </c>
      <c r="E29" s="53">
        <f t="shared" si="0"/>
        <v>72619633</v>
      </c>
      <c r="F29" s="53">
        <f>F30+F31+F32</f>
        <v>72619633</v>
      </c>
      <c r="G29" s="53">
        <f>G30+G31+G32</f>
        <v>0</v>
      </c>
      <c r="H29" s="53">
        <f>H30+H31+H32</f>
        <v>0</v>
      </c>
      <c r="I29" s="53">
        <f>I30+I31+I32</f>
        <v>0</v>
      </c>
      <c r="J29" s="150" t="s">
        <v>122</v>
      </c>
      <c r="K29" s="150" t="s">
        <v>227</v>
      </c>
    </row>
    <row r="30" spans="1:11" ht="23.25" customHeight="1">
      <c r="A30" s="157"/>
      <c r="B30" s="158"/>
      <c r="C30" s="149"/>
      <c r="D30" s="52">
        <v>2014</v>
      </c>
      <c r="E30" s="54">
        <f t="shared" si="0"/>
        <v>23429063</v>
      </c>
      <c r="F30" s="54">
        <v>23429063</v>
      </c>
      <c r="G30" s="54"/>
      <c r="H30" s="54"/>
      <c r="I30" s="54"/>
      <c r="J30" s="151"/>
      <c r="K30" s="151"/>
    </row>
    <row r="31" spans="1:11" ht="24.75" customHeight="1">
      <c r="A31" s="157"/>
      <c r="B31" s="158"/>
      <c r="C31" s="149"/>
      <c r="D31" s="52">
        <v>2015</v>
      </c>
      <c r="E31" s="54">
        <f t="shared" si="0"/>
        <v>24195189</v>
      </c>
      <c r="F31" s="54">
        <v>24195189</v>
      </c>
      <c r="G31" s="54"/>
      <c r="H31" s="54"/>
      <c r="I31" s="54"/>
      <c r="J31" s="151"/>
      <c r="K31" s="151"/>
    </row>
    <row r="32" spans="1:11" ht="27" customHeight="1">
      <c r="A32" s="157"/>
      <c r="B32" s="158"/>
      <c r="C32" s="149"/>
      <c r="D32" s="52">
        <v>2016</v>
      </c>
      <c r="E32" s="54">
        <f t="shared" si="0"/>
        <v>24995381</v>
      </c>
      <c r="F32" s="54">
        <v>24995381</v>
      </c>
      <c r="G32" s="54"/>
      <c r="H32" s="54"/>
      <c r="I32" s="54"/>
      <c r="J32" s="151"/>
      <c r="K32" s="151"/>
    </row>
    <row r="33" spans="1:11" ht="15" customHeight="1" hidden="1">
      <c r="A33" s="157"/>
      <c r="B33" s="158"/>
      <c r="C33" s="149"/>
      <c r="D33" s="52">
        <v>2017</v>
      </c>
      <c r="E33" s="54">
        <f t="shared" si="0"/>
        <v>0</v>
      </c>
      <c r="F33" s="54"/>
      <c r="G33" s="54"/>
      <c r="H33" s="54"/>
      <c r="I33" s="54"/>
      <c r="J33" s="151"/>
      <c r="K33" s="151"/>
    </row>
    <row r="34" spans="1:11" ht="15" customHeight="1" hidden="1">
      <c r="A34" s="157"/>
      <c r="B34" s="158"/>
      <c r="C34" s="149"/>
      <c r="D34" s="52">
        <v>2018</v>
      </c>
      <c r="E34" s="54">
        <f t="shared" si="0"/>
        <v>0</v>
      </c>
      <c r="F34" s="54"/>
      <c r="G34" s="54"/>
      <c r="H34" s="54"/>
      <c r="I34" s="54"/>
      <c r="J34" s="151"/>
      <c r="K34" s="151"/>
    </row>
    <row r="35" spans="1:11" ht="15" customHeight="1" hidden="1">
      <c r="A35" s="157"/>
      <c r="B35" s="158"/>
      <c r="C35" s="149"/>
      <c r="D35" s="52">
        <v>2019</v>
      </c>
      <c r="E35" s="54">
        <f t="shared" si="0"/>
        <v>0</v>
      </c>
      <c r="F35" s="54"/>
      <c r="G35" s="54"/>
      <c r="H35" s="54"/>
      <c r="I35" s="54"/>
      <c r="J35" s="151"/>
      <c r="K35" s="151"/>
    </row>
    <row r="36" spans="1:11" ht="15" customHeight="1" hidden="1">
      <c r="A36" s="157"/>
      <c r="B36" s="158"/>
      <c r="C36" s="149"/>
      <c r="D36" s="52">
        <v>2020</v>
      </c>
      <c r="E36" s="54">
        <f t="shared" si="0"/>
        <v>0</v>
      </c>
      <c r="F36" s="54"/>
      <c r="G36" s="54"/>
      <c r="H36" s="54"/>
      <c r="I36" s="54"/>
      <c r="J36" s="151"/>
      <c r="K36" s="151"/>
    </row>
    <row r="37" spans="1:11" ht="15" customHeight="1" hidden="1">
      <c r="A37" s="157"/>
      <c r="B37" s="158"/>
      <c r="C37" s="149"/>
      <c r="D37" s="75" t="s">
        <v>402</v>
      </c>
      <c r="E37" s="54">
        <f t="shared" si="0"/>
        <v>0</v>
      </c>
      <c r="F37" s="54"/>
      <c r="G37" s="54"/>
      <c r="H37" s="54"/>
      <c r="I37" s="54"/>
      <c r="J37" s="162"/>
      <c r="K37" s="162"/>
    </row>
    <row r="38" spans="1:11" ht="24.75" customHeight="1">
      <c r="A38" s="157" t="s">
        <v>397</v>
      </c>
      <c r="B38" s="158" t="s">
        <v>225</v>
      </c>
      <c r="C38" s="157" t="s">
        <v>43</v>
      </c>
      <c r="D38" s="52" t="s">
        <v>395</v>
      </c>
      <c r="E38" s="53">
        <f t="shared" si="0"/>
        <v>1208252</v>
      </c>
      <c r="F38" s="53">
        <f>F39+F40+F41</f>
        <v>1208252</v>
      </c>
      <c r="G38" s="53">
        <f>G39+G40+G41</f>
        <v>0</v>
      </c>
      <c r="H38" s="53">
        <f>H39+H40+H41</f>
        <v>0</v>
      </c>
      <c r="I38" s="53">
        <f>I39+I40+I41</f>
        <v>0</v>
      </c>
      <c r="J38" s="150" t="s">
        <v>123</v>
      </c>
      <c r="K38" s="150" t="s">
        <v>227</v>
      </c>
    </row>
    <row r="39" spans="1:11" ht="22.5" customHeight="1">
      <c r="A39" s="157"/>
      <c r="B39" s="158"/>
      <c r="C39" s="157"/>
      <c r="D39" s="52">
        <v>2014</v>
      </c>
      <c r="E39" s="54">
        <f t="shared" si="0"/>
        <v>410914</v>
      </c>
      <c r="F39" s="54">
        <v>410914</v>
      </c>
      <c r="G39" s="54"/>
      <c r="H39" s="54"/>
      <c r="I39" s="54"/>
      <c r="J39" s="151"/>
      <c r="K39" s="151"/>
    </row>
    <row r="40" spans="1:11" ht="21.75" customHeight="1">
      <c r="A40" s="157"/>
      <c r="B40" s="158"/>
      <c r="C40" s="157"/>
      <c r="D40" s="52">
        <v>2015</v>
      </c>
      <c r="E40" s="54">
        <f t="shared" si="0"/>
        <v>402696</v>
      </c>
      <c r="F40" s="54">
        <v>402696</v>
      </c>
      <c r="G40" s="54"/>
      <c r="H40" s="54"/>
      <c r="I40" s="54"/>
      <c r="J40" s="151"/>
      <c r="K40" s="151"/>
    </row>
    <row r="41" spans="1:11" ht="15">
      <c r="A41" s="157"/>
      <c r="B41" s="158"/>
      <c r="C41" s="157"/>
      <c r="D41" s="52">
        <v>2016</v>
      </c>
      <c r="E41" s="54">
        <f t="shared" si="0"/>
        <v>394642</v>
      </c>
      <c r="F41" s="54">
        <v>394642</v>
      </c>
      <c r="G41" s="54"/>
      <c r="H41" s="54"/>
      <c r="I41" s="54"/>
      <c r="J41" s="151"/>
      <c r="K41" s="151"/>
    </row>
    <row r="42" spans="1:11" ht="15" customHeight="1" hidden="1">
      <c r="A42" s="157"/>
      <c r="B42" s="158"/>
      <c r="C42" s="157"/>
      <c r="D42" s="52">
        <v>2017</v>
      </c>
      <c r="E42" s="54">
        <f t="shared" si="0"/>
        <v>0</v>
      </c>
      <c r="F42" s="54"/>
      <c r="G42" s="54"/>
      <c r="H42" s="54"/>
      <c r="I42" s="54"/>
      <c r="J42" s="151"/>
      <c r="K42" s="151"/>
    </row>
    <row r="43" spans="1:11" ht="15" customHeight="1" hidden="1">
      <c r="A43" s="157"/>
      <c r="B43" s="158"/>
      <c r="C43" s="157"/>
      <c r="D43" s="52">
        <v>2018</v>
      </c>
      <c r="E43" s="54">
        <f t="shared" si="0"/>
        <v>0</v>
      </c>
      <c r="F43" s="54"/>
      <c r="G43" s="54"/>
      <c r="H43" s="54"/>
      <c r="I43" s="54"/>
      <c r="J43" s="151"/>
      <c r="K43" s="151"/>
    </row>
    <row r="44" spans="1:11" ht="15" customHeight="1" hidden="1">
      <c r="A44" s="157"/>
      <c r="B44" s="158"/>
      <c r="C44" s="157"/>
      <c r="D44" s="52">
        <v>2019</v>
      </c>
      <c r="E44" s="54">
        <f t="shared" si="0"/>
        <v>0</v>
      </c>
      <c r="F44" s="54"/>
      <c r="G44" s="54"/>
      <c r="H44" s="54"/>
      <c r="I44" s="54"/>
      <c r="J44" s="151"/>
      <c r="K44" s="151"/>
    </row>
    <row r="45" spans="1:11" ht="15" customHeight="1" hidden="1">
      <c r="A45" s="157"/>
      <c r="B45" s="158"/>
      <c r="C45" s="157"/>
      <c r="D45" s="52">
        <v>2020</v>
      </c>
      <c r="E45" s="54">
        <f t="shared" si="0"/>
        <v>0</v>
      </c>
      <c r="F45" s="54"/>
      <c r="G45" s="54"/>
      <c r="H45" s="54"/>
      <c r="I45" s="54"/>
      <c r="J45" s="151"/>
      <c r="K45" s="151"/>
    </row>
    <row r="46" spans="1:11" ht="15" customHeight="1" hidden="1">
      <c r="A46" s="157"/>
      <c r="B46" s="158"/>
      <c r="C46" s="157"/>
      <c r="D46" s="75" t="s">
        <v>402</v>
      </c>
      <c r="E46" s="54">
        <f t="shared" si="0"/>
        <v>0</v>
      </c>
      <c r="F46" s="54"/>
      <c r="G46" s="54"/>
      <c r="H46" s="54"/>
      <c r="I46" s="54"/>
      <c r="J46" s="162"/>
      <c r="K46" s="162"/>
    </row>
    <row r="47" spans="1:11" ht="25.5" customHeight="1">
      <c r="A47" s="154" t="s">
        <v>424</v>
      </c>
      <c r="B47" s="159" t="s">
        <v>226</v>
      </c>
      <c r="C47" s="154" t="s">
        <v>43</v>
      </c>
      <c r="D47" s="52" t="s">
        <v>395</v>
      </c>
      <c r="E47" s="53">
        <f t="shared" si="0"/>
        <v>180000</v>
      </c>
      <c r="F47" s="53">
        <f>F48+F49+F50</f>
        <v>0</v>
      </c>
      <c r="G47" s="53">
        <f>G48+G49+G50</f>
        <v>0</v>
      </c>
      <c r="H47" s="53">
        <f>H48+H49+H50</f>
        <v>0</v>
      </c>
      <c r="I47" s="53">
        <f>I48+I49+I50</f>
        <v>180000</v>
      </c>
      <c r="J47" s="152" t="s">
        <v>228</v>
      </c>
      <c r="K47" s="149" t="s">
        <v>227</v>
      </c>
    </row>
    <row r="48" spans="1:11" ht="23.25" customHeight="1">
      <c r="A48" s="155"/>
      <c r="B48" s="160"/>
      <c r="C48" s="155"/>
      <c r="D48" s="52">
        <v>2014</v>
      </c>
      <c r="E48" s="54">
        <f t="shared" si="0"/>
        <v>57000</v>
      </c>
      <c r="F48" s="54"/>
      <c r="G48" s="54"/>
      <c r="H48" s="54"/>
      <c r="I48" s="54">
        <v>57000</v>
      </c>
      <c r="J48" s="153"/>
      <c r="K48" s="149"/>
    </row>
    <row r="49" spans="1:11" ht="22.5" customHeight="1">
      <c r="A49" s="155"/>
      <c r="B49" s="160"/>
      <c r="C49" s="155"/>
      <c r="D49" s="52">
        <v>2015</v>
      </c>
      <c r="E49" s="54">
        <f t="shared" si="0"/>
        <v>60000</v>
      </c>
      <c r="F49" s="54"/>
      <c r="G49" s="54"/>
      <c r="H49" s="54"/>
      <c r="I49" s="54">
        <v>60000</v>
      </c>
      <c r="J49" s="153"/>
      <c r="K49" s="149"/>
    </row>
    <row r="50" spans="1:11" ht="27.75" customHeight="1">
      <c r="A50" s="156"/>
      <c r="B50" s="161"/>
      <c r="C50" s="156"/>
      <c r="D50" s="52">
        <v>2016</v>
      </c>
      <c r="E50" s="54">
        <f t="shared" si="0"/>
        <v>63000</v>
      </c>
      <c r="F50" s="54"/>
      <c r="G50" s="54"/>
      <c r="H50" s="54"/>
      <c r="I50" s="54">
        <v>63000</v>
      </c>
      <c r="J50" s="153"/>
      <c r="K50" s="149"/>
    </row>
    <row r="51" spans="1:11" ht="15" hidden="1">
      <c r="A51" s="157"/>
      <c r="B51" s="158"/>
      <c r="C51" s="157"/>
      <c r="D51" s="52">
        <v>2017</v>
      </c>
      <c r="E51" s="54"/>
      <c r="F51" s="54"/>
      <c r="G51" s="54"/>
      <c r="H51" s="54"/>
      <c r="I51" s="54"/>
      <c r="J51" s="149"/>
      <c r="K51" s="149"/>
    </row>
    <row r="52" spans="1:11" ht="3.75" customHeight="1" hidden="1">
      <c r="A52" s="157"/>
      <c r="B52" s="158"/>
      <c r="C52" s="157"/>
      <c r="D52" s="52">
        <v>2018</v>
      </c>
      <c r="E52" s="54"/>
      <c r="F52" s="54"/>
      <c r="G52" s="54"/>
      <c r="H52" s="54"/>
      <c r="I52" s="54"/>
      <c r="J52" s="149"/>
      <c r="K52" s="149"/>
    </row>
    <row r="53" spans="1:11" ht="15" hidden="1">
      <c r="A53" s="157"/>
      <c r="B53" s="158"/>
      <c r="C53" s="157"/>
      <c r="D53" s="52">
        <v>2019</v>
      </c>
      <c r="E53" s="54"/>
      <c r="F53" s="54"/>
      <c r="G53" s="54"/>
      <c r="H53" s="54"/>
      <c r="I53" s="54"/>
      <c r="J53" s="149"/>
      <c r="K53" s="149"/>
    </row>
    <row r="54" spans="1:11" ht="15" hidden="1">
      <c r="A54" s="157"/>
      <c r="B54" s="158"/>
      <c r="C54" s="157"/>
      <c r="D54" s="52">
        <v>2020</v>
      </c>
      <c r="E54" s="54"/>
      <c r="F54" s="54"/>
      <c r="G54" s="54"/>
      <c r="H54" s="54"/>
      <c r="I54" s="54"/>
      <c r="J54" s="149"/>
      <c r="K54" s="149"/>
    </row>
    <row r="55" spans="1:11" ht="15" hidden="1">
      <c r="A55" s="157"/>
      <c r="B55" s="158"/>
      <c r="C55" s="157"/>
      <c r="D55" s="59" t="s">
        <v>402</v>
      </c>
      <c r="E55" s="54"/>
      <c r="F55" s="54"/>
      <c r="G55" s="54"/>
      <c r="H55" s="54"/>
      <c r="I55" s="54"/>
      <c r="J55" s="149"/>
      <c r="K55" s="149"/>
    </row>
  </sheetData>
  <sheetProtection/>
  <mergeCells count="37">
    <mergeCell ref="K11:K19"/>
    <mergeCell ref="A3:J3"/>
    <mergeCell ref="A9:A10"/>
    <mergeCell ref="B9:B10"/>
    <mergeCell ref="C9:C10"/>
    <mergeCell ref="D9:I9"/>
    <mergeCell ref="J9:J10"/>
    <mergeCell ref="K29:K37"/>
    <mergeCell ref="A20:A28"/>
    <mergeCell ref="B20:B28"/>
    <mergeCell ref="C20:C28"/>
    <mergeCell ref="J20:J28"/>
    <mergeCell ref="K9:K10"/>
    <mergeCell ref="A11:A19"/>
    <mergeCell ref="B11:B19"/>
    <mergeCell ref="C11:C19"/>
    <mergeCell ref="J11:J19"/>
    <mergeCell ref="K47:K50"/>
    <mergeCell ref="A38:A46"/>
    <mergeCell ref="B38:B46"/>
    <mergeCell ref="C38:C46"/>
    <mergeCell ref="J38:J46"/>
    <mergeCell ref="K20:K28"/>
    <mergeCell ref="A29:A37"/>
    <mergeCell ref="B29:B37"/>
    <mergeCell ref="C29:C37"/>
    <mergeCell ref="J29:J37"/>
    <mergeCell ref="K51:K55"/>
    <mergeCell ref="A51:A55"/>
    <mergeCell ref="B51:B55"/>
    <mergeCell ref="C51:C55"/>
    <mergeCell ref="J51:J55"/>
    <mergeCell ref="K38:K46"/>
    <mergeCell ref="A47:A50"/>
    <mergeCell ref="B47:B50"/>
    <mergeCell ref="C47:C50"/>
    <mergeCell ref="J47:J50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0"/>
  <sheetViews>
    <sheetView zoomScalePageLayoutView="0" workbookViewId="0" topLeftCell="A1">
      <selection activeCell="C9" sqref="C9:G9"/>
    </sheetView>
  </sheetViews>
  <sheetFormatPr defaultColWidth="9.140625" defaultRowHeight="15"/>
  <cols>
    <col min="1" max="1" width="9.140625" style="50" customWidth="1"/>
    <col min="2" max="2" width="31.140625" style="50" customWidth="1"/>
    <col min="3" max="3" width="10.140625" style="50" customWidth="1"/>
    <col min="4" max="4" width="13.00390625" style="50" customWidth="1"/>
    <col min="5" max="6" width="9.140625" style="50" customWidth="1"/>
    <col min="7" max="7" width="15.421875" style="50" customWidth="1"/>
    <col min="8" max="8" width="13.421875" style="50" customWidth="1"/>
    <col min="9" max="9" width="16.28125" style="50" customWidth="1"/>
    <col min="10" max="10" width="14.140625" style="50" customWidth="1"/>
    <col min="11" max="16384" width="9.140625" style="50" customWidth="1"/>
  </cols>
  <sheetData>
    <row r="1" spans="1:11" ht="15.75">
      <c r="A1" s="56"/>
      <c r="B1" s="77"/>
      <c r="C1" s="77"/>
      <c r="D1" s="77"/>
      <c r="E1" s="77"/>
      <c r="F1" s="77"/>
      <c r="G1" s="57" t="s">
        <v>194</v>
      </c>
      <c r="H1" s="56"/>
      <c r="I1" s="77"/>
      <c r="J1" s="56"/>
      <c r="K1" s="56"/>
    </row>
    <row r="2" spans="1:11" ht="15.75">
      <c r="A2" s="56"/>
      <c r="B2" s="77"/>
      <c r="C2" s="77"/>
      <c r="D2" s="77"/>
      <c r="E2" s="77"/>
      <c r="F2" s="57"/>
      <c r="G2" s="77"/>
      <c r="H2" s="77"/>
      <c r="I2" s="77"/>
      <c r="J2" s="56"/>
      <c r="K2" s="56"/>
    </row>
    <row r="3" spans="1:11" ht="29.25" customHeight="1">
      <c r="A3" s="56"/>
      <c r="B3" s="231" t="s">
        <v>439</v>
      </c>
      <c r="C3" s="231"/>
      <c r="D3" s="231"/>
      <c r="E3" s="231"/>
      <c r="F3" s="231"/>
      <c r="G3" s="231"/>
      <c r="H3" s="231"/>
      <c r="I3" s="231"/>
      <c r="J3" s="56"/>
      <c r="K3" s="56"/>
    </row>
    <row r="4" spans="1:11" ht="15.75">
      <c r="A4" s="56"/>
      <c r="B4" s="77"/>
      <c r="C4" s="77"/>
      <c r="D4" s="77"/>
      <c r="E4" s="77"/>
      <c r="F4" s="77"/>
      <c r="G4" s="77"/>
      <c r="H4" s="77"/>
      <c r="I4" s="77"/>
      <c r="J4" s="56"/>
      <c r="K4" s="56"/>
    </row>
    <row r="5" spans="1:11" ht="41.25" customHeight="1">
      <c r="A5" s="171" t="s">
        <v>410</v>
      </c>
      <c r="B5" s="171" t="s">
        <v>433</v>
      </c>
      <c r="C5" s="171" t="s">
        <v>428</v>
      </c>
      <c r="D5" s="169" t="s">
        <v>426</v>
      </c>
      <c r="E5" s="169"/>
      <c r="F5" s="169"/>
      <c r="G5" s="169" t="s">
        <v>443</v>
      </c>
      <c r="H5" s="169"/>
      <c r="I5" s="169"/>
      <c r="J5" s="169" t="s">
        <v>405</v>
      </c>
      <c r="K5" s="56"/>
    </row>
    <row r="6" spans="1:11" ht="46.5" customHeight="1">
      <c r="A6" s="172"/>
      <c r="B6" s="172"/>
      <c r="C6" s="172"/>
      <c r="D6" s="78" t="s">
        <v>232</v>
      </c>
      <c r="E6" s="78" t="s">
        <v>386</v>
      </c>
      <c r="F6" s="78" t="s">
        <v>233</v>
      </c>
      <c r="G6" s="78" t="s">
        <v>232</v>
      </c>
      <c r="H6" s="78" t="s">
        <v>386</v>
      </c>
      <c r="I6" s="78" t="s">
        <v>233</v>
      </c>
      <c r="J6" s="169"/>
      <c r="K6" s="56"/>
    </row>
    <row r="7" spans="1:11" ht="23.25" customHeight="1">
      <c r="A7" s="69"/>
      <c r="B7" s="173" t="s">
        <v>193</v>
      </c>
      <c r="C7" s="174"/>
      <c r="D7" s="174"/>
      <c r="E7" s="174"/>
      <c r="F7" s="174"/>
      <c r="G7" s="174"/>
      <c r="H7" s="174"/>
      <c r="I7" s="174"/>
      <c r="J7" s="175"/>
      <c r="K7" s="56"/>
    </row>
    <row r="8" spans="1:11" ht="32.25" customHeight="1">
      <c r="A8" s="69" t="s">
        <v>399</v>
      </c>
      <c r="B8" s="173" t="s">
        <v>229</v>
      </c>
      <c r="C8" s="174"/>
      <c r="D8" s="174"/>
      <c r="E8" s="174"/>
      <c r="F8" s="174"/>
      <c r="G8" s="174"/>
      <c r="H8" s="174"/>
      <c r="I8" s="174"/>
      <c r="J8" s="175"/>
      <c r="K8" s="56"/>
    </row>
    <row r="9" spans="1:11" ht="90">
      <c r="A9" s="79" t="s">
        <v>396</v>
      </c>
      <c r="B9" s="72" t="s">
        <v>195</v>
      </c>
      <c r="C9" s="72" t="s">
        <v>196</v>
      </c>
      <c r="D9" s="72">
        <v>35</v>
      </c>
      <c r="E9" s="72">
        <v>35</v>
      </c>
      <c r="F9" s="72">
        <v>35</v>
      </c>
      <c r="G9" s="38">
        <v>23429063</v>
      </c>
      <c r="H9" s="38">
        <v>24195189</v>
      </c>
      <c r="I9" s="38">
        <v>24995381</v>
      </c>
      <c r="J9" s="76"/>
      <c r="K9" s="56"/>
    </row>
    <row r="10" spans="1:11" ht="15">
      <c r="A10" s="56"/>
      <c r="B10" s="55"/>
      <c r="C10" s="55"/>
      <c r="D10" s="56"/>
      <c r="E10" s="56"/>
      <c r="F10" s="56"/>
      <c r="G10" s="56"/>
      <c r="H10" s="56"/>
      <c r="I10" s="56"/>
      <c r="J10" s="56"/>
      <c r="K10" s="56"/>
    </row>
  </sheetData>
  <sheetProtection/>
  <mergeCells count="9">
    <mergeCell ref="J5:J6"/>
    <mergeCell ref="B7:J7"/>
    <mergeCell ref="B8:J8"/>
    <mergeCell ref="B3:I3"/>
    <mergeCell ref="G5:I5"/>
    <mergeCell ref="A5:A6"/>
    <mergeCell ref="B5:B6"/>
    <mergeCell ref="C5:C6"/>
    <mergeCell ref="D5:F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X12"/>
  <sheetViews>
    <sheetView zoomScalePageLayoutView="0" workbookViewId="0" topLeftCell="A1">
      <selection activeCell="W17" sqref="W17"/>
    </sheetView>
  </sheetViews>
  <sheetFormatPr defaultColWidth="9.140625" defaultRowHeight="15"/>
  <cols>
    <col min="2" max="2" width="28.00390625" style="0" customWidth="1"/>
    <col min="13" max="22" width="0" style="0" hidden="1" customWidth="1"/>
    <col min="23" max="23" width="11.57421875" style="0" customWidth="1"/>
    <col min="24" max="24" width="14.57421875" style="0" customWidth="1"/>
  </cols>
  <sheetData>
    <row r="1" spans="1:24" ht="15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197</v>
      </c>
      <c r="V1" s="11"/>
      <c r="W1" s="118" t="s">
        <v>197</v>
      </c>
      <c r="X1" s="236"/>
    </row>
    <row r="2" spans="1:24" ht="54" customHeight="1">
      <c r="A2" s="148" t="s">
        <v>355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ht="15">
      <c r="A3" s="1"/>
    </row>
    <row r="4" spans="1:24" ht="15">
      <c r="A4" s="117" t="s">
        <v>410</v>
      </c>
      <c r="B4" s="117" t="s">
        <v>421</v>
      </c>
      <c r="C4" s="117" t="s">
        <v>411</v>
      </c>
      <c r="D4" s="117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3" t="s">
        <v>414</v>
      </c>
      <c r="X4" s="117" t="s">
        <v>429</v>
      </c>
    </row>
    <row r="5" spans="1:24" ht="15">
      <c r="A5" s="117"/>
      <c r="B5" s="117"/>
      <c r="C5" s="117"/>
      <c r="D5" s="6">
        <v>2012</v>
      </c>
      <c r="E5" s="237">
        <v>2013</v>
      </c>
      <c r="F5" s="238"/>
      <c r="G5" s="235">
        <v>2014</v>
      </c>
      <c r="H5" s="235"/>
      <c r="I5" s="235">
        <v>2015</v>
      </c>
      <c r="J5" s="235"/>
      <c r="K5" s="235">
        <v>2016</v>
      </c>
      <c r="L5" s="235"/>
      <c r="M5" s="235">
        <v>2017</v>
      </c>
      <c r="N5" s="235"/>
      <c r="O5" s="235">
        <v>2018</v>
      </c>
      <c r="P5" s="235"/>
      <c r="Q5" s="235">
        <v>2019</v>
      </c>
      <c r="R5" s="235"/>
      <c r="S5" s="235">
        <v>2020</v>
      </c>
      <c r="T5" s="235"/>
      <c r="U5" s="235" t="s">
        <v>402</v>
      </c>
      <c r="V5" s="235"/>
      <c r="W5" s="114"/>
      <c r="X5" s="117"/>
    </row>
    <row r="6" spans="1:24" ht="22.5" customHeight="1">
      <c r="A6" s="117"/>
      <c r="B6" s="117"/>
      <c r="C6" s="117"/>
      <c r="D6" s="6" t="s">
        <v>412</v>
      </c>
      <c r="E6" s="6" t="s">
        <v>413</v>
      </c>
      <c r="F6" s="6" t="s">
        <v>412</v>
      </c>
      <c r="G6" s="6" t="s">
        <v>413</v>
      </c>
      <c r="H6" s="6" t="s">
        <v>412</v>
      </c>
      <c r="I6" s="6" t="s">
        <v>413</v>
      </c>
      <c r="J6" s="6" t="s">
        <v>412</v>
      </c>
      <c r="K6" s="6" t="s">
        <v>413</v>
      </c>
      <c r="L6" s="6" t="s">
        <v>412</v>
      </c>
      <c r="M6" s="6" t="s">
        <v>413</v>
      </c>
      <c r="N6" s="6" t="s">
        <v>412</v>
      </c>
      <c r="O6" s="6" t="s">
        <v>413</v>
      </c>
      <c r="P6" s="6" t="s">
        <v>412</v>
      </c>
      <c r="Q6" s="6" t="s">
        <v>413</v>
      </c>
      <c r="R6" s="6" t="s">
        <v>412</v>
      </c>
      <c r="S6" s="6" t="s">
        <v>413</v>
      </c>
      <c r="T6" s="6" t="s">
        <v>412</v>
      </c>
      <c r="U6" s="6" t="s">
        <v>413</v>
      </c>
      <c r="V6" s="6" t="s">
        <v>412</v>
      </c>
      <c r="W6" s="239"/>
      <c r="X6" s="117"/>
    </row>
    <row r="7" spans="1:24" ht="21.75" customHeight="1">
      <c r="A7" s="6"/>
      <c r="B7" s="232" t="s">
        <v>198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4"/>
    </row>
    <row r="8" spans="1:24" ht="27.75" customHeight="1">
      <c r="A8" s="6" t="s">
        <v>418</v>
      </c>
      <c r="B8" s="232" t="s">
        <v>420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4"/>
    </row>
    <row r="9" spans="1:24" ht="75" customHeight="1">
      <c r="A9" s="6" t="s">
        <v>396</v>
      </c>
      <c r="B9" s="7" t="s">
        <v>356</v>
      </c>
      <c r="C9" s="6" t="s">
        <v>2</v>
      </c>
      <c r="D9" s="7">
        <v>100</v>
      </c>
      <c r="E9" s="7">
        <v>100</v>
      </c>
      <c r="F9" s="7"/>
      <c r="G9" s="7">
        <v>100</v>
      </c>
      <c r="H9" s="7"/>
      <c r="I9" s="7">
        <v>100</v>
      </c>
      <c r="J9" s="7"/>
      <c r="K9" s="7">
        <v>100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 t="s">
        <v>37</v>
      </c>
      <c r="X9" s="7" t="s">
        <v>11</v>
      </c>
    </row>
    <row r="10" spans="1:24" ht="15">
      <c r="A10" s="6" t="s">
        <v>419</v>
      </c>
      <c r="B10" s="232" t="s">
        <v>422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4"/>
    </row>
    <row r="11" spans="1:24" ht="15">
      <c r="A11" s="6" t="s">
        <v>401</v>
      </c>
      <c r="B11" s="111" t="s">
        <v>199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ht="63.75">
      <c r="A12" s="6" t="s">
        <v>415</v>
      </c>
      <c r="B12" s="19" t="s">
        <v>200</v>
      </c>
      <c r="C12" s="6" t="s">
        <v>2</v>
      </c>
      <c r="D12" s="19">
        <v>97</v>
      </c>
      <c r="E12" s="19">
        <v>100</v>
      </c>
      <c r="F12" s="19"/>
      <c r="G12" s="19">
        <v>100</v>
      </c>
      <c r="H12" s="19"/>
      <c r="I12" s="19">
        <v>100</v>
      </c>
      <c r="J12" s="19"/>
      <c r="K12" s="19">
        <v>100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7" t="s">
        <v>201</v>
      </c>
      <c r="X12" s="7" t="s">
        <v>11</v>
      </c>
    </row>
  </sheetData>
  <sheetProtection/>
  <mergeCells count="21">
    <mergeCell ref="B11:X11"/>
    <mergeCell ref="S5:T5"/>
    <mergeCell ref="Q5:R5"/>
    <mergeCell ref="E5:F5"/>
    <mergeCell ref="I5:J5"/>
    <mergeCell ref="W4:W6"/>
    <mergeCell ref="G5:H5"/>
    <mergeCell ref="M5:N5"/>
    <mergeCell ref="W1:X1"/>
    <mergeCell ref="A4:A6"/>
    <mergeCell ref="B4:B6"/>
    <mergeCell ref="C4:C6"/>
    <mergeCell ref="D4:V4"/>
    <mergeCell ref="B8:X8"/>
    <mergeCell ref="U5:V5"/>
    <mergeCell ref="B10:X10"/>
    <mergeCell ref="A2:X2"/>
    <mergeCell ref="K5:L5"/>
    <mergeCell ref="X4:X6"/>
    <mergeCell ref="O5:P5"/>
    <mergeCell ref="B7:X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7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35.00390625" style="0" customWidth="1"/>
    <col min="3" max="3" width="13.57421875" style="0" customWidth="1"/>
    <col min="4" max="4" width="12.57421875" style="0" customWidth="1"/>
    <col min="5" max="5" width="12.28125" style="0" customWidth="1"/>
    <col min="6" max="6" width="13.28125" style="0" customWidth="1"/>
    <col min="7" max="11" width="0" style="0" hidden="1" customWidth="1"/>
  </cols>
  <sheetData>
    <row r="1" spans="5:6" ht="15.75">
      <c r="E1" s="240" t="s">
        <v>202</v>
      </c>
      <c r="F1" s="240"/>
    </row>
    <row r="3" spans="1:11" ht="31.5" customHeight="1">
      <c r="A3" s="148" t="s">
        <v>357</v>
      </c>
      <c r="B3" s="148"/>
      <c r="C3" s="148"/>
      <c r="D3" s="148"/>
      <c r="E3" s="148"/>
      <c r="F3" s="148"/>
      <c r="G3" s="148"/>
      <c r="H3" s="148"/>
      <c r="I3" s="148"/>
      <c r="J3" s="148"/>
      <c r="K3" s="15"/>
    </row>
    <row r="5" spans="1:11" ht="27" customHeight="1">
      <c r="A5" s="144"/>
      <c r="B5" s="141"/>
      <c r="C5" s="202" t="s">
        <v>441</v>
      </c>
      <c r="D5" s="203"/>
      <c r="E5" s="203"/>
      <c r="F5" s="203"/>
      <c r="G5" s="203"/>
      <c r="H5" s="203"/>
      <c r="I5" s="203"/>
      <c r="J5" s="203"/>
      <c r="K5" s="204"/>
    </row>
    <row r="6" spans="1:11" ht="21" customHeight="1">
      <c r="A6" s="145"/>
      <c r="B6" s="142"/>
      <c r="C6" s="23" t="s">
        <v>395</v>
      </c>
      <c r="D6" s="23">
        <v>2014</v>
      </c>
      <c r="E6" s="23">
        <v>2015</v>
      </c>
      <c r="F6" s="23">
        <v>2016</v>
      </c>
      <c r="G6" s="23">
        <v>2017</v>
      </c>
      <c r="H6" s="23">
        <v>2018</v>
      </c>
      <c r="I6" s="23">
        <v>2019</v>
      </c>
      <c r="J6" s="23">
        <v>2020</v>
      </c>
      <c r="K6" s="4" t="s">
        <v>402</v>
      </c>
    </row>
    <row r="7" spans="1:11" ht="20.25" customHeight="1">
      <c r="A7" s="146"/>
      <c r="B7" s="143"/>
      <c r="C7" s="22" t="s">
        <v>440</v>
      </c>
      <c r="D7" s="22" t="s">
        <v>440</v>
      </c>
      <c r="E7" s="22" t="s">
        <v>440</v>
      </c>
      <c r="F7" s="22" t="s">
        <v>440</v>
      </c>
      <c r="G7" s="22" t="s">
        <v>440</v>
      </c>
      <c r="H7" s="22" t="s">
        <v>440</v>
      </c>
      <c r="I7" s="22" t="s">
        <v>440</v>
      </c>
      <c r="J7" s="22" t="s">
        <v>440</v>
      </c>
      <c r="K7" s="22" t="s">
        <v>440</v>
      </c>
    </row>
    <row r="8" spans="1:11" ht="15">
      <c r="A8" s="140" t="s">
        <v>17</v>
      </c>
      <c r="B8" s="5" t="s">
        <v>395</v>
      </c>
      <c r="C8" s="37">
        <f>SUM(C9:C12)</f>
        <v>94359743</v>
      </c>
      <c r="D8" s="27">
        <f>SUM(D9:D12)</f>
        <v>30100869</v>
      </c>
      <c r="E8" s="27">
        <f>SUM(E9:E12)</f>
        <v>31416503</v>
      </c>
      <c r="F8" s="27">
        <f>SUM(F9:F12)</f>
        <v>32842371</v>
      </c>
      <c r="G8" s="3"/>
      <c r="H8" s="5"/>
      <c r="I8" s="5"/>
      <c r="J8" s="5"/>
      <c r="K8" s="5"/>
    </row>
    <row r="9" spans="1:11" ht="15">
      <c r="A9" s="140"/>
      <c r="B9" s="3" t="s">
        <v>393</v>
      </c>
      <c r="C9" s="27">
        <f>D9+E9+F9</f>
        <v>88171743</v>
      </c>
      <c r="D9" s="27">
        <f>D14</f>
        <v>28400869</v>
      </c>
      <c r="E9" s="27">
        <f>E14</f>
        <v>29376503</v>
      </c>
      <c r="F9" s="27">
        <f>F14</f>
        <v>30394371</v>
      </c>
      <c r="G9" s="3"/>
      <c r="H9" s="5"/>
      <c r="I9" s="5"/>
      <c r="J9" s="5"/>
      <c r="K9" s="5"/>
    </row>
    <row r="10" spans="1:11" ht="15">
      <c r="A10" s="140"/>
      <c r="B10" s="3" t="s">
        <v>391</v>
      </c>
      <c r="C10" s="27">
        <f>D10+E10+F10</f>
        <v>0</v>
      </c>
      <c r="D10" s="27">
        <f aca="true" t="shared" si="0" ref="D10:F12">D15</f>
        <v>0</v>
      </c>
      <c r="E10" s="27">
        <f t="shared" si="0"/>
        <v>0</v>
      </c>
      <c r="F10" s="27">
        <f t="shared" si="0"/>
        <v>0</v>
      </c>
      <c r="G10" s="3"/>
      <c r="H10" s="5"/>
      <c r="I10" s="5"/>
      <c r="J10" s="5"/>
      <c r="K10" s="5"/>
    </row>
    <row r="11" spans="1:11" ht="15">
      <c r="A11" s="140"/>
      <c r="B11" s="3" t="s">
        <v>392</v>
      </c>
      <c r="C11" s="27">
        <f>D11+E11+F11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3"/>
      <c r="H11" s="5"/>
      <c r="I11" s="5"/>
      <c r="J11" s="5"/>
      <c r="K11" s="5"/>
    </row>
    <row r="12" spans="1:11" ht="18.75" customHeight="1">
      <c r="A12" s="140"/>
      <c r="B12" s="3" t="s">
        <v>394</v>
      </c>
      <c r="C12" s="27">
        <f>D12+E12+F12</f>
        <v>6188000</v>
      </c>
      <c r="D12" s="27">
        <f t="shared" si="0"/>
        <v>1700000</v>
      </c>
      <c r="E12" s="27">
        <f t="shared" si="0"/>
        <v>2040000</v>
      </c>
      <c r="F12" s="27">
        <f t="shared" si="0"/>
        <v>2448000</v>
      </c>
      <c r="G12" s="3"/>
      <c r="H12" s="5"/>
      <c r="I12" s="5"/>
      <c r="J12" s="5"/>
      <c r="K12" s="5"/>
    </row>
    <row r="13" spans="1:11" ht="15">
      <c r="A13" s="140" t="s">
        <v>11</v>
      </c>
      <c r="B13" s="5" t="s">
        <v>395</v>
      </c>
      <c r="C13" s="37">
        <f>SUM(C14:C17)</f>
        <v>94359743</v>
      </c>
      <c r="D13" s="37">
        <f>SUM(D14:D17)</f>
        <v>30100869</v>
      </c>
      <c r="E13" s="37">
        <f>SUM(E14:E17)</f>
        <v>31416503</v>
      </c>
      <c r="F13" s="37">
        <f>SUM(F14:F17)</f>
        <v>32842371</v>
      </c>
      <c r="G13" s="3"/>
      <c r="H13" s="5"/>
      <c r="I13" s="5"/>
      <c r="J13" s="5"/>
      <c r="K13" s="5"/>
    </row>
    <row r="14" spans="1:11" ht="15">
      <c r="A14" s="140"/>
      <c r="B14" s="3" t="s">
        <v>393</v>
      </c>
      <c r="C14" s="27">
        <f>D14+E14+F14</f>
        <v>88171743</v>
      </c>
      <c r="D14" s="27">
        <f>'ПР20 ОМ5'!F12</f>
        <v>28400869</v>
      </c>
      <c r="E14" s="27">
        <f>'ПР20 ОМ5'!F13</f>
        <v>29376503</v>
      </c>
      <c r="F14" s="27">
        <f>'ПР20 ОМ5'!F14</f>
        <v>30394371</v>
      </c>
      <c r="G14" s="3"/>
      <c r="H14" s="5"/>
      <c r="I14" s="5"/>
      <c r="J14" s="5"/>
      <c r="K14" s="5"/>
    </row>
    <row r="15" spans="1:11" ht="15">
      <c r="A15" s="140"/>
      <c r="B15" s="3" t="s">
        <v>391</v>
      </c>
      <c r="C15" s="27">
        <f>D15+E15+F15</f>
        <v>0</v>
      </c>
      <c r="D15" s="27"/>
      <c r="E15" s="27"/>
      <c r="F15" s="27"/>
      <c r="G15" s="3"/>
      <c r="H15" s="5"/>
      <c r="I15" s="5"/>
      <c r="J15" s="5"/>
      <c r="K15" s="5"/>
    </row>
    <row r="16" spans="1:11" ht="15">
      <c r="A16" s="140"/>
      <c r="B16" s="3" t="s">
        <v>392</v>
      </c>
      <c r="C16" s="27">
        <f>D16+E16+F16</f>
        <v>0</v>
      </c>
      <c r="D16" s="27"/>
      <c r="E16" s="27"/>
      <c r="F16" s="27"/>
      <c r="G16" s="3"/>
      <c r="H16" s="5"/>
      <c r="I16" s="5"/>
      <c r="J16" s="5"/>
      <c r="K16" s="5"/>
    </row>
    <row r="17" spans="1:11" ht="26.25" customHeight="1">
      <c r="A17" s="140"/>
      <c r="B17" s="3" t="s">
        <v>394</v>
      </c>
      <c r="C17" s="27">
        <f>D17+E17+F17</f>
        <v>6188000</v>
      </c>
      <c r="D17" s="27">
        <f>'ПР20 ОМ5'!I12</f>
        <v>1700000</v>
      </c>
      <c r="E17" s="27">
        <f>'ПР20 ОМ5'!I13</f>
        <v>2040000</v>
      </c>
      <c r="F17" s="27">
        <f>'ПР20 ОМ5'!I14</f>
        <v>2448000</v>
      </c>
      <c r="G17" s="3"/>
      <c r="H17" s="5"/>
      <c r="I17" s="5"/>
      <c r="J17" s="5"/>
      <c r="K17" s="5"/>
    </row>
  </sheetData>
  <sheetProtection/>
  <mergeCells count="7">
    <mergeCell ref="A13:A17"/>
    <mergeCell ref="E1:F1"/>
    <mergeCell ref="A3:J3"/>
    <mergeCell ref="A5:A7"/>
    <mergeCell ref="B5:B7"/>
    <mergeCell ref="C5:K5"/>
    <mergeCell ref="A8:A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79"/>
  <sheetViews>
    <sheetView zoomScale="115" zoomScaleNormal="115" zoomScaleSheetLayoutView="115" zoomScalePageLayoutView="0" workbookViewId="0" topLeftCell="A1">
      <selection activeCell="B2" sqref="A2:F79"/>
    </sheetView>
  </sheetViews>
  <sheetFormatPr defaultColWidth="9.140625" defaultRowHeight="15"/>
  <cols>
    <col min="1" max="1" width="38.28125" style="0" customWidth="1"/>
    <col min="2" max="2" width="5.7109375" style="0" customWidth="1"/>
    <col min="3" max="3" width="15.140625" style="0" customWidth="1"/>
    <col min="4" max="4" width="16.00390625" style="0" customWidth="1"/>
    <col min="5" max="5" width="16.421875" style="0" customWidth="1"/>
    <col min="6" max="6" width="15.140625" style="0" customWidth="1"/>
    <col min="8" max="10" width="0" style="0" hidden="1" customWidth="1"/>
    <col min="11" max="11" width="16.7109375" style="0" customWidth="1"/>
    <col min="12" max="12" width="15.00390625" style="0" bestFit="1" customWidth="1"/>
    <col min="13" max="13" width="13.28125" style="0" bestFit="1" customWidth="1"/>
  </cols>
  <sheetData>
    <row r="1" spans="5:6" ht="15">
      <c r="E1" s="119" t="s">
        <v>111</v>
      </c>
      <c r="F1" s="119"/>
    </row>
    <row r="2" spans="1:6" ht="15">
      <c r="A2" s="105"/>
      <c r="B2" s="105"/>
      <c r="C2" s="105"/>
      <c r="D2" s="105"/>
      <c r="E2" s="105"/>
      <c r="F2" s="105"/>
    </row>
    <row r="3" spans="1:6" ht="36" customHeight="1">
      <c r="A3" s="121" t="s">
        <v>8</v>
      </c>
      <c r="B3" s="121"/>
      <c r="C3" s="121"/>
      <c r="D3" s="121"/>
      <c r="E3" s="121"/>
      <c r="F3" s="121"/>
    </row>
    <row r="4" spans="1:6" ht="15">
      <c r="A4" s="105"/>
      <c r="B4" s="105"/>
      <c r="C4" s="105"/>
      <c r="D4" s="105"/>
      <c r="E4" s="105"/>
      <c r="F4" s="105"/>
    </row>
    <row r="5" spans="1:6" ht="15">
      <c r="A5" s="122"/>
      <c r="B5" s="125"/>
      <c r="C5" s="128" t="s">
        <v>436</v>
      </c>
      <c r="D5" s="128"/>
      <c r="E5" s="128"/>
      <c r="F5" s="128"/>
    </row>
    <row r="6" spans="1:6" ht="15">
      <c r="A6" s="123"/>
      <c r="B6" s="126"/>
      <c r="C6" s="49" t="s">
        <v>395</v>
      </c>
      <c r="D6" s="49">
        <v>2014</v>
      </c>
      <c r="E6" s="49">
        <v>2015</v>
      </c>
      <c r="F6" s="49">
        <v>2016</v>
      </c>
    </row>
    <row r="7" spans="1:6" s="1" customFormat="1" ht="15">
      <c r="A7" s="124"/>
      <c r="B7" s="127"/>
      <c r="C7" s="49" t="s">
        <v>440</v>
      </c>
      <c r="D7" s="49" t="s">
        <v>440</v>
      </c>
      <c r="E7" s="49" t="s">
        <v>440</v>
      </c>
      <c r="F7" s="49" t="s">
        <v>440</v>
      </c>
    </row>
    <row r="8" spans="1:6" ht="15">
      <c r="A8" s="120" t="s">
        <v>10</v>
      </c>
      <c r="B8" s="106" t="s">
        <v>395</v>
      </c>
      <c r="C8" s="107">
        <f>SUM(C9:C12)</f>
        <v>4572509994.18</v>
      </c>
      <c r="D8" s="107">
        <f>SUM(D9:D12)</f>
        <v>1662523327.18</v>
      </c>
      <c r="E8" s="107">
        <f>SUM(E9:E12)</f>
        <v>1512412904</v>
      </c>
      <c r="F8" s="107">
        <f>SUM(F9:F12)</f>
        <v>1397573763</v>
      </c>
    </row>
    <row r="9" spans="1:6" ht="15">
      <c r="A9" s="120"/>
      <c r="B9" s="40" t="s">
        <v>393</v>
      </c>
      <c r="C9" s="108">
        <f>SUM(D9:F9)</f>
        <v>1999374331</v>
      </c>
      <c r="D9" s="108">
        <f>D24+D29+D34+D39+D44+D49+D54+D59</f>
        <v>746066705</v>
      </c>
      <c r="E9" s="108">
        <f>E24+E29+E34+E39+E44+E49+E54+E59</f>
        <v>681407957</v>
      </c>
      <c r="F9" s="108">
        <f>F24+F29+F34+F39+F44+F49+F54+F59</f>
        <v>571899669</v>
      </c>
    </row>
    <row r="10" spans="1:6" ht="15">
      <c r="A10" s="120"/>
      <c r="B10" s="40" t="s">
        <v>391</v>
      </c>
      <c r="C10" s="108">
        <f>SUM(D10:F10)</f>
        <v>2095984460</v>
      </c>
      <c r="D10" s="108">
        <f>D25+D30+D35+D40+D45+D50+D55+D60</f>
        <v>657006018</v>
      </c>
      <c r="E10" s="108">
        <f aca="true" t="shared" si="0" ref="D10:F12">E25+E30+E35+E40+E45+E50+E55+E60</f>
        <v>723329012</v>
      </c>
      <c r="F10" s="108">
        <f t="shared" si="0"/>
        <v>715649430</v>
      </c>
    </row>
    <row r="11" spans="1:6" ht="15">
      <c r="A11" s="120"/>
      <c r="B11" s="40" t="s">
        <v>392</v>
      </c>
      <c r="C11" s="108">
        <f>SUM(D11:F11)</f>
        <v>153856484.18</v>
      </c>
      <c r="D11" s="108">
        <f t="shared" si="0"/>
        <v>153856484.18</v>
      </c>
      <c r="E11" s="108">
        <f t="shared" si="0"/>
        <v>0</v>
      </c>
      <c r="F11" s="108">
        <f t="shared" si="0"/>
        <v>0</v>
      </c>
    </row>
    <row r="12" spans="1:8" ht="15">
      <c r="A12" s="120"/>
      <c r="B12" s="40" t="s">
        <v>394</v>
      </c>
      <c r="C12" s="108">
        <f>SUM(D12:F12)</f>
        <v>323294719</v>
      </c>
      <c r="D12" s="108">
        <f t="shared" si="0"/>
        <v>105594120</v>
      </c>
      <c r="E12" s="108">
        <f t="shared" si="0"/>
        <v>107675935</v>
      </c>
      <c r="F12" s="108">
        <f t="shared" si="0"/>
        <v>110024664</v>
      </c>
      <c r="H12" t="s">
        <v>112</v>
      </c>
    </row>
    <row r="13" spans="1:6" s="50" customFormat="1" ht="15">
      <c r="A13" s="120" t="s">
        <v>11</v>
      </c>
      <c r="B13" s="106" t="s">
        <v>395</v>
      </c>
      <c r="C13" s="107">
        <f>SUM(C14:C17)</f>
        <v>4085019710</v>
      </c>
      <c r="D13" s="107">
        <f>SUM(D14:D17)</f>
        <v>1347945343</v>
      </c>
      <c r="E13" s="107">
        <f>SUM(E14:E17)</f>
        <v>1339500604</v>
      </c>
      <c r="F13" s="107">
        <f>SUM(F14:F17)</f>
        <v>1397573763</v>
      </c>
    </row>
    <row r="14" spans="1:13" s="50" customFormat="1" ht="15">
      <c r="A14" s="120"/>
      <c r="B14" s="40" t="s">
        <v>393</v>
      </c>
      <c r="C14" s="108">
        <f>SUM(D14:F14)</f>
        <v>1714454931</v>
      </c>
      <c r="D14" s="108">
        <f>D24+D29+D34+D39+D44+D49+D54+'Пр 31 Фин ПП8'!D14</f>
        <v>585345205</v>
      </c>
      <c r="E14" s="108">
        <f>E24+E29+E34+E39+E44+E49+E54+'Пр 31 Фин ПП8'!E14</f>
        <v>557210057</v>
      </c>
      <c r="F14" s="108">
        <f>F24+F29+F34+F39+F44+F49+F54+'Пр 31 Фин ПП8'!F14</f>
        <v>571899669</v>
      </c>
      <c r="H14" s="66">
        <f aca="true" t="shared" si="1" ref="H14:J17">D9-D14-D19</f>
        <v>0</v>
      </c>
      <c r="I14" s="66">
        <f t="shared" si="1"/>
        <v>0</v>
      </c>
      <c r="J14" s="66">
        <f t="shared" si="1"/>
        <v>0</v>
      </c>
      <c r="K14" s="66"/>
      <c r="L14" s="66"/>
      <c r="M14" s="66"/>
    </row>
    <row r="15" spans="1:10" s="50" customFormat="1" ht="15">
      <c r="A15" s="120"/>
      <c r="B15" s="40" t="s">
        <v>391</v>
      </c>
      <c r="C15" s="108">
        <f>SUM(D15:F15)</f>
        <v>2047270060</v>
      </c>
      <c r="D15" s="108">
        <f>D25+D30+D35+D40+D45+D50+D55+'Пр 31 Фин ПП8'!D15</f>
        <v>657006018</v>
      </c>
      <c r="E15" s="108">
        <f>E25+E30+E35+E40+E45+E50+E55+'Пр 31 Фин ПП8'!E15</f>
        <v>674614612</v>
      </c>
      <c r="F15" s="108">
        <f>F25+F30+F35+F40+F45+F50+F55+'Пр 31 Фин ПП8'!F15</f>
        <v>715649430</v>
      </c>
      <c r="H15" s="66">
        <f t="shared" si="1"/>
        <v>0</v>
      </c>
      <c r="I15" s="66">
        <f t="shared" si="1"/>
        <v>0</v>
      </c>
      <c r="J15" s="66">
        <f t="shared" si="1"/>
        <v>0</v>
      </c>
    </row>
    <row r="16" spans="1:10" s="50" customFormat="1" ht="15">
      <c r="A16" s="120"/>
      <c r="B16" s="40" t="s">
        <v>392</v>
      </c>
      <c r="C16" s="108">
        <f>SUM(D16:F16)</f>
        <v>0</v>
      </c>
      <c r="D16" s="108">
        <f>D26+D31+D36+D41+D46+D51+D56+'Пр 31 Фин ПП8'!D16</f>
        <v>0</v>
      </c>
      <c r="E16" s="108">
        <f>E26+E31+E36+E41+E46+E51+E56+'Пр 31 Фин ПП8'!E16</f>
        <v>0</v>
      </c>
      <c r="F16" s="108">
        <f>F26+F31+F36+F41+F46+F51+F56+'Пр 31 Фин ПП8'!F16</f>
        <v>0</v>
      </c>
      <c r="H16" s="66">
        <f t="shared" si="1"/>
        <v>0</v>
      </c>
      <c r="I16" s="66">
        <f t="shared" si="1"/>
        <v>0</v>
      </c>
      <c r="J16" s="66">
        <f t="shared" si="1"/>
        <v>0</v>
      </c>
    </row>
    <row r="17" spans="1:10" s="50" customFormat="1" ht="15">
      <c r="A17" s="120"/>
      <c r="B17" s="40" t="s">
        <v>394</v>
      </c>
      <c r="C17" s="108">
        <f>SUM(D17:F17)</f>
        <v>323294719</v>
      </c>
      <c r="D17" s="108">
        <f>D27+D32+D37+D42+D47+D52+D57+'Пр 31 Фин ПП8'!D17</f>
        <v>105594120</v>
      </c>
      <c r="E17" s="108">
        <f>E27+E32+E37+E42+E47+E52+E57+'Пр 31 Фин ПП8'!E17</f>
        <v>107675935</v>
      </c>
      <c r="F17" s="108">
        <f>F27+F32+F37+F42+F47+F52+F57+'Пр 31 Фин ПП8'!F17</f>
        <v>110024664</v>
      </c>
      <c r="H17" s="66">
        <f t="shared" si="1"/>
        <v>0</v>
      </c>
      <c r="I17" s="66">
        <f t="shared" si="1"/>
        <v>0</v>
      </c>
      <c r="J17" s="66">
        <f t="shared" si="1"/>
        <v>0</v>
      </c>
    </row>
    <row r="18" spans="1:6" s="50" customFormat="1" ht="15">
      <c r="A18" s="120" t="s">
        <v>12</v>
      </c>
      <c r="B18" s="106" t="s">
        <v>395</v>
      </c>
      <c r="C18" s="107">
        <f>SUM(C19:C22)</f>
        <v>487490284.18</v>
      </c>
      <c r="D18" s="107">
        <f>SUM(D19:D22)</f>
        <v>314577984.18</v>
      </c>
      <c r="E18" s="107">
        <f>SUM(E19:E22)</f>
        <v>172912300</v>
      </c>
      <c r="F18" s="107">
        <f>SUM(F19:F22)</f>
        <v>0</v>
      </c>
    </row>
    <row r="19" spans="1:6" s="50" customFormat="1" ht="15">
      <c r="A19" s="120"/>
      <c r="B19" s="40" t="s">
        <v>393</v>
      </c>
      <c r="C19" s="108">
        <f>SUM(D19:F19)</f>
        <v>284919400</v>
      </c>
      <c r="D19" s="108">
        <f>'Пр 31 Фин ПП8'!D19</f>
        <v>160721500</v>
      </c>
      <c r="E19" s="108">
        <f>'Пр 31 Фин ПП8'!E19</f>
        <v>124197900</v>
      </c>
      <c r="F19" s="108">
        <f>'Пр 31 Фин ПП8'!F19</f>
        <v>0</v>
      </c>
    </row>
    <row r="20" spans="1:6" s="50" customFormat="1" ht="15">
      <c r="A20" s="120"/>
      <c r="B20" s="40" t="s">
        <v>391</v>
      </c>
      <c r="C20" s="108">
        <f>SUM(D20:F20)</f>
        <v>48714400</v>
      </c>
      <c r="D20" s="108">
        <f>'Пр 31 Фин ПП8'!D20</f>
        <v>0</v>
      </c>
      <c r="E20" s="108">
        <f>'Пр 31 Фин ПП8'!E20</f>
        <v>48714400</v>
      </c>
      <c r="F20" s="108">
        <f>'Пр 31 Фин ПП8'!F20</f>
        <v>0</v>
      </c>
    </row>
    <row r="21" spans="1:6" s="50" customFormat="1" ht="15">
      <c r="A21" s="120"/>
      <c r="B21" s="40" t="s">
        <v>392</v>
      </c>
      <c r="C21" s="108">
        <f>SUM(D21:F21)</f>
        <v>153856484.18</v>
      </c>
      <c r="D21" s="108">
        <f>'Пр 31 Фин ПП8'!D21</f>
        <v>153856484.18</v>
      </c>
      <c r="E21" s="108">
        <f>'Пр 31 Фин ПП8'!E21</f>
        <v>0</v>
      </c>
      <c r="F21" s="108">
        <f>'Пр 31 Фин ПП8'!F21</f>
        <v>0</v>
      </c>
    </row>
    <row r="22" spans="1:6" s="50" customFormat="1" ht="15">
      <c r="A22" s="120"/>
      <c r="B22" s="40" t="s">
        <v>394</v>
      </c>
      <c r="C22" s="108">
        <f>SUM(D22:F22)</f>
        <v>0</v>
      </c>
      <c r="D22" s="108">
        <f>'Пр 31 Фин ПП8'!D22</f>
        <v>0</v>
      </c>
      <c r="E22" s="108">
        <f>'Пр 31 Фин ПП8'!E22</f>
        <v>0</v>
      </c>
      <c r="F22" s="108">
        <f>'Пр 31 Фин ПП8'!F22</f>
        <v>0</v>
      </c>
    </row>
    <row r="23" spans="1:6" ht="15">
      <c r="A23" s="120" t="s">
        <v>13</v>
      </c>
      <c r="B23" s="106" t="s">
        <v>395</v>
      </c>
      <c r="C23" s="107">
        <f>SUM(C24:C27)</f>
        <v>1616709064.03</v>
      </c>
      <c r="D23" s="107">
        <f>SUM(D24:D27)</f>
        <v>531093265.03</v>
      </c>
      <c r="E23" s="107">
        <f>SUM(E24:E27)</f>
        <v>535894701</v>
      </c>
      <c r="F23" s="107">
        <f>SUM(F24:F27)</f>
        <v>549721098</v>
      </c>
    </row>
    <row r="24" spans="1:12" ht="15">
      <c r="A24" s="120"/>
      <c r="B24" s="40" t="s">
        <v>393</v>
      </c>
      <c r="C24" s="108">
        <f>SUM(D24:F24)</f>
        <v>552725932.03</v>
      </c>
      <c r="D24" s="108">
        <f>'Пр 4 Фин ПП1'!D9</f>
        <v>183246967.03</v>
      </c>
      <c r="E24" s="108">
        <f>'Пр 4 Фин ПП1'!E9</f>
        <v>183131546</v>
      </c>
      <c r="F24" s="108">
        <f>'Пр 4 Фин ПП1'!F9</f>
        <v>186347419</v>
      </c>
      <c r="K24" s="47"/>
      <c r="L24" s="47"/>
    </row>
    <row r="25" spans="1:6" ht="15">
      <c r="A25" s="120"/>
      <c r="B25" s="40" t="s">
        <v>391</v>
      </c>
      <c r="C25" s="108">
        <f>SUM(D25:F25)</f>
        <v>928901232</v>
      </c>
      <c r="D25" s="108">
        <f>'Пр 4 Фин ПП1'!D10</f>
        <v>302818998</v>
      </c>
      <c r="E25" s="108">
        <f>'Пр 4 Фин ПП1'!E10</f>
        <v>307735855</v>
      </c>
      <c r="F25" s="108">
        <f>'Пр 4 Фин ПП1'!F10</f>
        <v>318346379</v>
      </c>
    </row>
    <row r="26" spans="1:6" ht="15">
      <c r="A26" s="120"/>
      <c r="B26" s="40" t="s">
        <v>392</v>
      </c>
      <c r="C26" s="108">
        <f>SUM(D26:F26)</f>
        <v>0</v>
      </c>
      <c r="D26" s="108">
        <f>'Пр 4 Фин ПП1'!D11</f>
        <v>0</v>
      </c>
      <c r="E26" s="108">
        <f>'Пр 4 Фин ПП1'!E11</f>
        <v>0</v>
      </c>
      <c r="F26" s="108">
        <f>'Пр 4 Фин ПП1'!F11</f>
        <v>0</v>
      </c>
    </row>
    <row r="27" spans="1:6" ht="15">
      <c r="A27" s="120"/>
      <c r="B27" s="40" t="s">
        <v>394</v>
      </c>
      <c r="C27" s="108">
        <f>SUM(D27:F27)</f>
        <v>135081900</v>
      </c>
      <c r="D27" s="108">
        <f>'Пр 4 Фин ПП1'!D12</f>
        <v>45027300</v>
      </c>
      <c r="E27" s="108">
        <f>'Пр 4 Фин ПП1'!E12</f>
        <v>45027300</v>
      </c>
      <c r="F27" s="108">
        <f>'Пр 4 Фин ПП1'!F12</f>
        <v>45027300</v>
      </c>
    </row>
    <row r="28" spans="1:6" ht="15">
      <c r="A28" s="120" t="s">
        <v>14</v>
      </c>
      <c r="B28" s="106" t="s">
        <v>395</v>
      </c>
      <c r="C28" s="107">
        <f>SUM(C29:C32)</f>
        <v>1953899199.97</v>
      </c>
      <c r="D28" s="107">
        <f>SUM(D29:D32)</f>
        <v>626799856.97</v>
      </c>
      <c r="E28" s="107">
        <f>SUM(E29:E32)</f>
        <v>645887075</v>
      </c>
      <c r="F28" s="107">
        <f>SUM(F29:F32)</f>
        <v>681212268</v>
      </c>
    </row>
    <row r="29" spans="1:13" ht="15">
      <c r="A29" s="120"/>
      <c r="B29" s="40" t="s">
        <v>393</v>
      </c>
      <c r="C29" s="108">
        <f>SUM(D29:F29)</f>
        <v>875793101.97</v>
      </c>
      <c r="D29" s="108">
        <f>'ПР 8 Фин ПП2'!D9</f>
        <v>286106236.97</v>
      </c>
      <c r="E29" s="108">
        <f>'ПР 8 Фин ПП2'!E9</f>
        <v>292102648</v>
      </c>
      <c r="F29" s="108">
        <f>'ПР 8 Фин ПП2'!F9</f>
        <v>297584217</v>
      </c>
      <c r="K29" s="47"/>
      <c r="L29" s="47"/>
      <c r="M29" s="47"/>
    </row>
    <row r="30" spans="1:11" ht="15">
      <c r="A30" s="120"/>
      <c r="B30" s="40" t="s">
        <v>391</v>
      </c>
      <c r="C30" s="108">
        <f>SUM(D30:F30)</f>
        <v>972155028</v>
      </c>
      <c r="D30" s="108">
        <f>'ПР 8 Фин ПП2'!D10</f>
        <v>306173920</v>
      </c>
      <c r="E30" s="108">
        <f>'ПР 8 Фин ПП2'!E10</f>
        <v>318234057</v>
      </c>
      <c r="F30" s="108">
        <f>'ПР 8 Фин ПП2'!F10</f>
        <v>347747051</v>
      </c>
      <c r="K30" s="47"/>
    </row>
    <row r="31" spans="1:6" ht="15">
      <c r="A31" s="120"/>
      <c r="B31" s="40" t="s">
        <v>392</v>
      </c>
      <c r="C31" s="108">
        <f>SUM(D31:F31)</f>
        <v>0</v>
      </c>
      <c r="D31" s="108">
        <f>'ПР 8 Фин ПП2'!D11</f>
        <v>0</v>
      </c>
      <c r="E31" s="108">
        <f>'ПР 8 Фин ПП2'!E11</f>
        <v>0</v>
      </c>
      <c r="F31" s="108">
        <f>'ПР 8 Фин ПП2'!F11</f>
        <v>0</v>
      </c>
    </row>
    <row r="32" spans="1:6" ht="15">
      <c r="A32" s="120"/>
      <c r="B32" s="40" t="s">
        <v>394</v>
      </c>
      <c r="C32" s="108">
        <f>SUM(D32:F32)</f>
        <v>105951070</v>
      </c>
      <c r="D32" s="108">
        <f>'ПР 8 Фин ПП2'!D12</f>
        <v>34519700</v>
      </c>
      <c r="E32" s="108">
        <f>'ПР 8 Фин ПП2'!E12</f>
        <v>35550370</v>
      </c>
      <c r="F32" s="108">
        <f>'ПР 8 Фин ПП2'!F12</f>
        <v>35881000</v>
      </c>
    </row>
    <row r="33" spans="1:6" ht="15">
      <c r="A33" s="120" t="s">
        <v>15</v>
      </c>
      <c r="B33" s="106" t="s">
        <v>395</v>
      </c>
      <c r="C33" s="107">
        <f>SUM(C34:C37)</f>
        <v>125031701</v>
      </c>
      <c r="D33" s="107">
        <f>SUM(D34:D37)</f>
        <v>41283113</v>
      </c>
      <c r="E33" s="107">
        <f>SUM(E34:E37)</f>
        <v>41490344</v>
      </c>
      <c r="F33" s="107">
        <f>SUM(F34:F37)</f>
        <v>42258244</v>
      </c>
    </row>
    <row r="34" spans="1:17" ht="15">
      <c r="A34" s="120"/>
      <c r="B34" s="40" t="s">
        <v>393</v>
      </c>
      <c r="C34" s="108">
        <f>SUM(D34:F34)</f>
        <v>37289001</v>
      </c>
      <c r="D34" s="108">
        <f>'Пр 12 ФинПП3'!D9</f>
        <v>12523313</v>
      </c>
      <c r="E34" s="108">
        <f>'Пр 12 ФинПП3'!E9</f>
        <v>12382844</v>
      </c>
      <c r="F34" s="108">
        <f>'Пр 12 ФинПП3'!F9</f>
        <v>12382844</v>
      </c>
      <c r="K34" s="47"/>
      <c r="L34" s="47"/>
      <c r="M34" s="47"/>
      <c r="N34" s="47"/>
      <c r="O34" s="47"/>
      <c r="P34" s="47"/>
      <c r="Q34" s="47"/>
    </row>
    <row r="35" spans="1:6" ht="15">
      <c r="A35" s="120"/>
      <c r="B35" s="40" t="s">
        <v>391</v>
      </c>
      <c r="C35" s="108">
        <f>SUM(D35:F35)</f>
        <v>87742700</v>
      </c>
      <c r="D35" s="108">
        <f>'Пр 12 ФинПП3'!D10</f>
        <v>28759800</v>
      </c>
      <c r="E35" s="108">
        <f>'Пр 12 ФинПП3'!E10</f>
        <v>29107500</v>
      </c>
      <c r="F35" s="108">
        <f>'Пр 12 ФинПП3'!F10</f>
        <v>29875400</v>
      </c>
    </row>
    <row r="36" spans="1:6" ht="15">
      <c r="A36" s="120"/>
      <c r="B36" s="40" t="s">
        <v>392</v>
      </c>
      <c r="C36" s="108">
        <f>SUM(D36:F36)</f>
        <v>0</v>
      </c>
      <c r="D36" s="108">
        <f>'Пр 12 ФинПП3'!D11</f>
        <v>0</v>
      </c>
      <c r="E36" s="108">
        <f>'Пр 12 ФинПП3'!E11</f>
        <v>0</v>
      </c>
      <c r="F36" s="108">
        <f>'Пр 12 ФинПП3'!F11</f>
        <v>0</v>
      </c>
    </row>
    <row r="37" spans="1:6" ht="15">
      <c r="A37" s="120"/>
      <c r="B37" s="40" t="s">
        <v>394</v>
      </c>
      <c r="C37" s="108">
        <f>SUM(D37:F37)</f>
        <v>0</v>
      </c>
      <c r="D37" s="108">
        <f>'Пр 12 ФинПП3'!D12</f>
        <v>0</v>
      </c>
      <c r="E37" s="108">
        <f>'Пр 12 ФинПП3'!E12</f>
        <v>0</v>
      </c>
      <c r="F37" s="108">
        <f>'Пр 12 ФинПП3'!F12</f>
        <v>0</v>
      </c>
    </row>
    <row r="38" spans="1:6" ht="15">
      <c r="A38" s="120" t="s">
        <v>16</v>
      </c>
      <c r="B38" s="106" t="s">
        <v>395</v>
      </c>
      <c r="C38" s="107">
        <f>SUM(C39:C42)</f>
        <v>74007885</v>
      </c>
      <c r="D38" s="107">
        <f>SUM(D39:D42)</f>
        <v>23896977</v>
      </c>
      <c r="E38" s="107">
        <f>SUM(E39:E42)</f>
        <v>24657885</v>
      </c>
      <c r="F38" s="107">
        <f>SUM(F39:F42)</f>
        <v>25453023</v>
      </c>
    </row>
    <row r="39" spans="1:6" ht="15">
      <c r="A39" s="120"/>
      <c r="B39" s="40" t="s">
        <v>393</v>
      </c>
      <c r="C39" s="108">
        <f>SUM(D39:F39)</f>
        <v>73827885</v>
      </c>
      <c r="D39" s="108">
        <f>'Пр 15 ФинПП4'!D9</f>
        <v>23839977</v>
      </c>
      <c r="E39" s="108">
        <f>'Пр 15 ФинПП4'!E9</f>
        <v>24597885</v>
      </c>
      <c r="F39" s="108">
        <f>'Пр 15 ФинПП4'!F9</f>
        <v>25390023</v>
      </c>
    </row>
    <row r="40" spans="1:6" ht="15">
      <c r="A40" s="120"/>
      <c r="B40" s="40" t="s">
        <v>391</v>
      </c>
      <c r="C40" s="108">
        <f>SUM(D40:F40)</f>
        <v>0</v>
      </c>
      <c r="D40" s="108">
        <f>'Пр 15 ФинПП4'!D10</f>
        <v>0</v>
      </c>
      <c r="E40" s="108">
        <f>'Пр 15 ФинПП4'!E10</f>
        <v>0</v>
      </c>
      <c r="F40" s="108">
        <f>'Пр 15 ФинПП4'!F10</f>
        <v>0</v>
      </c>
    </row>
    <row r="41" spans="1:6" ht="15">
      <c r="A41" s="120"/>
      <c r="B41" s="40" t="s">
        <v>392</v>
      </c>
      <c r="C41" s="108">
        <f>SUM(D41:F41)</f>
        <v>0</v>
      </c>
      <c r="D41" s="108">
        <f>'Пр 15 ФинПП4'!D11</f>
        <v>0</v>
      </c>
      <c r="E41" s="108">
        <f>'Пр 15 ФинПП4'!E11</f>
        <v>0</v>
      </c>
      <c r="F41" s="108">
        <f>'Пр 15 ФинПП4'!F11</f>
        <v>0</v>
      </c>
    </row>
    <row r="42" spans="1:6" ht="15">
      <c r="A42" s="120"/>
      <c r="B42" s="40" t="s">
        <v>394</v>
      </c>
      <c r="C42" s="108">
        <f>SUM(D42:F42)</f>
        <v>180000</v>
      </c>
      <c r="D42" s="108">
        <f>'Пр 15 ФинПП4'!D12</f>
        <v>57000</v>
      </c>
      <c r="E42" s="108">
        <f>'Пр 15 ФинПП4'!E12</f>
        <v>60000</v>
      </c>
      <c r="F42" s="108">
        <f>'Пр 15 ФинПП4'!F12</f>
        <v>63000</v>
      </c>
    </row>
    <row r="43" spans="1:6" ht="15">
      <c r="A43" s="120" t="s">
        <v>17</v>
      </c>
      <c r="B43" s="106" t="s">
        <v>395</v>
      </c>
      <c r="C43" s="107">
        <f>SUM(C44:C47)</f>
        <v>94359743</v>
      </c>
      <c r="D43" s="107">
        <f>SUM(D44:D47)</f>
        <v>30100869</v>
      </c>
      <c r="E43" s="107">
        <f>SUM(E44:E47)</f>
        <v>31416503</v>
      </c>
      <c r="F43" s="107">
        <f>SUM(F44:F47)</f>
        <v>32842371</v>
      </c>
    </row>
    <row r="44" spans="1:6" ht="15">
      <c r="A44" s="120"/>
      <c r="B44" s="40" t="s">
        <v>393</v>
      </c>
      <c r="C44" s="108">
        <f>SUM(D44:F44)</f>
        <v>88171743</v>
      </c>
      <c r="D44" s="108">
        <f>'Пр 19 Фин ПП5'!D9</f>
        <v>28400869</v>
      </c>
      <c r="E44" s="108">
        <f>'Пр 19 Фин ПП5'!E9</f>
        <v>29376503</v>
      </c>
      <c r="F44" s="108">
        <f>'Пр 19 Фин ПП5'!F9</f>
        <v>30394371</v>
      </c>
    </row>
    <row r="45" spans="1:6" ht="15">
      <c r="A45" s="120"/>
      <c r="B45" s="40" t="s">
        <v>391</v>
      </c>
      <c r="C45" s="108">
        <f>SUM(D45:F45)</f>
        <v>0</v>
      </c>
      <c r="D45" s="108">
        <f>'Пр 19 Фин ПП5'!D10</f>
        <v>0</v>
      </c>
      <c r="E45" s="108">
        <f>'Пр 19 Фин ПП5'!E10</f>
        <v>0</v>
      </c>
      <c r="F45" s="108">
        <f>'Пр 19 Фин ПП5'!F10</f>
        <v>0</v>
      </c>
    </row>
    <row r="46" spans="1:6" ht="15">
      <c r="A46" s="120"/>
      <c r="B46" s="40" t="s">
        <v>392</v>
      </c>
      <c r="C46" s="108">
        <f>SUM(D46:F46)</f>
        <v>0</v>
      </c>
      <c r="D46" s="108">
        <f>'Пр 19 Фин ПП5'!D11</f>
        <v>0</v>
      </c>
      <c r="E46" s="108">
        <f>'Пр 19 Фин ПП5'!E11</f>
        <v>0</v>
      </c>
      <c r="F46" s="108">
        <f>'Пр 19 Фин ПП5'!F11</f>
        <v>0</v>
      </c>
    </row>
    <row r="47" spans="1:6" ht="15">
      <c r="A47" s="120"/>
      <c r="B47" s="40" t="s">
        <v>394</v>
      </c>
      <c r="C47" s="108">
        <f>SUM(D47:F47)</f>
        <v>6188000</v>
      </c>
      <c r="D47" s="108">
        <f>'Пр 19 Фин ПП5'!D12</f>
        <v>1700000</v>
      </c>
      <c r="E47" s="108">
        <f>'Пр 19 Фин ПП5'!E12</f>
        <v>2040000</v>
      </c>
      <c r="F47" s="108">
        <f>'Пр 19 Фин ПП5'!F12</f>
        <v>2448000</v>
      </c>
    </row>
    <row r="48" spans="1:6" ht="15">
      <c r="A48" s="120" t="s">
        <v>18</v>
      </c>
      <c r="B48" s="106" t="s">
        <v>395</v>
      </c>
      <c r="C48" s="107">
        <f>SUM(C49:C52)</f>
        <v>128112071</v>
      </c>
      <c r="D48" s="107">
        <f>SUM(D49:D52)</f>
        <v>41938334</v>
      </c>
      <c r="E48" s="107">
        <f>SUM(E49:E52)</f>
        <v>42382504</v>
      </c>
      <c r="F48" s="107">
        <f>SUM(F49:F52)</f>
        <v>43791233</v>
      </c>
    </row>
    <row r="49" spans="1:6" ht="15">
      <c r="A49" s="120"/>
      <c r="B49" s="40" t="s">
        <v>393</v>
      </c>
      <c r="C49" s="108">
        <f>SUM(D49:F49)</f>
        <v>17987124</v>
      </c>
      <c r="D49" s="108">
        <f>'Пр 23 Фин ПП6'!D9</f>
        <v>5920094</v>
      </c>
      <c r="E49" s="108">
        <f>'Пр 23 Фин ПП6'!E9</f>
        <v>5959497</v>
      </c>
      <c r="F49" s="108">
        <f>'Пр 23 Фин ПП6'!F9</f>
        <v>6107533</v>
      </c>
    </row>
    <row r="50" spans="1:6" ht="15">
      <c r="A50" s="120"/>
      <c r="B50" s="40" t="s">
        <v>391</v>
      </c>
      <c r="C50" s="108">
        <f>SUM(D50:F50)</f>
        <v>48969900</v>
      </c>
      <c r="D50" s="108">
        <f>'Пр 23 Фин ПП6'!D10</f>
        <v>16180900</v>
      </c>
      <c r="E50" s="108">
        <f>'Пр 23 Фин ПП6'!E10</f>
        <v>16322800</v>
      </c>
      <c r="F50" s="108">
        <f>'Пр 23 Фин ПП6'!F10</f>
        <v>16466200</v>
      </c>
    </row>
    <row r="51" spans="1:6" ht="15">
      <c r="A51" s="120"/>
      <c r="B51" s="40" t="s">
        <v>392</v>
      </c>
      <c r="C51" s="108">
        <f>SUM(D51:F51)</f>
        <v>0</v>
      </c>
      <c r="D51" s="108">
        <f>'Пр 23 Фин ПП6'!D11</f>
        <v>0</v>
      </c>
      <c r="E51" s="108">
        <f>'Пр 23 Фин ПП6'!E11</f>
        <v>0</v>
      </c>
      <c r="F51" s="108">
        <f>'Пр 23 Фин ПП6'!F11</f>
        <v>0</v>
      </c>
    </row>
    <row r="52" spans="1:6" ht="15">
      <c r="A52" s="120"/>
      <c r="B52" s="40" t="s">
        <v>394</v>
      </c>
      <c r="C52" s="108">
        <f>SUM(D52:F52)</f>
        <v>61155047</v>
      </c>
      <c r="D52" s="108">
        <f>'Пр 23 Фин ПП6'!D12</f>
        <v>19837340</v>
      </c>
      <c r="E52" s="108">
        <f>'Пр 23 Фин ПП6'!E12</f>
        <v>20100207</v>
      </c>
      <c r="F52" s="108">
        <f>'Пр 23 Фин ПП6'!F12</f>
        <v>21217500</v>
      </c>
    </row>
    <row r="53" spans="1:6" ht="15">
      <c r="A53" s="120" t="s">
        <v>19</v>
      </c>
      <c r="B53" s="106" t="s">
        <v>395</v>
      </c>
      <c r="C53" s="107">
        <f>SUM(C54:C57)</f>
        <v>53120928</v>
      </c>
      <c r="D53" s="107">
        <f>SUM(D54:D57)</f>
        <v>17236119</v>
      </c>
      <c r="E53" s="107">
        <f>SUM(E54:E57)</f>
        <v>17771592</v>
      </c>
      <c r="F53" s="107">
        <f>SUM(F54:F57)</f>
        <v>18113217</v>
      </c>
    </row>
    <row r="54" spans="1:6" ht="15">
      <c r="A54" s="120"/>
      <c r="B54" s="40" t="s">
        <v>393</v>
      </c>
      <c r="C54" s="108">
        <f>SUM(D54:F54)</f>
        <v>28881026</v>
      </c>
      <c r="D54" s="108">
        <f>'Пр 27 Фин ПП7'!D11</f>
        <v>9710939</v>
      </c>
      <c r="E54" s="108">
        <f>'Пр 27 Фин ПП7'!E11</f>
        <v>9659134</v>
      </c>
      <c r="F54" s="108">
        <f>'Пр 27 Фин ПП7'!F11</f>
        <v>9510953</v>
      </c>
    </row>
    <row r="55" spans="1:6" ht="15">
      <c r="A55" s="120"/>
      <c r="B55" s="40" t="s">
        <v>391</v>
      </c>
      <c r="C55" s="108">
        <f>SUM(D55:F55)</f>
        <v>9501200</v>
      </c>
      <c r="D55" s="108">
        <f>'Пр 27 Фин ПП7'!D12</f>
        <v>3072400</v>
      </c>
      <c r="E55" s="108">
        <f>'Пр 27 Фин ПП7'!E12</f>
        <v>3214400</v>
      </c>
      <c r="F55" s="108">
        <f>'Пр 27 Фин ПП7'!F12</f>
        <v>3214400</v>
      </c>
    </row>
    <row r="56" spans="1:6" ht="15">
      <c r="A56" s="120"/>
      <c r="B56" s="40" t="s">
        <v>392</v>
      </c>
      <c r="C56" s="108">
        <f>SUM(D56:F56)</f>
        <v>0</v>
      </c>
      <c r="D56" s="108">
        <f>'Пр 27 Фин ПП7'!D13</f>
        <v>0</v>
      </c>
      <c r="E56" s="108">
        <f>'Пр 27 Фин ПП7'!E13</f>
        <v>0</v>
      </c>
      <c r="F56" s="108">
        <f>'Пр 27 Фин ПП7'!F13</f>
        <v>0</v>
      </c>
    </row>
    <row r="57" spans="1:6" ht="15">
      <c r="A57" s="120"/>
      <c r="B57" s="40" t="s">
        <v>394</v>
      </c>
      <c r="C57" s="108">
        <f>SUM(D57:F57)</f>
        <v>14738702</v>
      </c>
      <c r="D57" s="108">
        <f>'Пр 27 Фин ПП7'!D14</f>
        <v>4452780</v>
      </c>
      <c r="E57" s="108">
        <f>'Пр 27 Фин ПП7'!E14</f>
        <v>4898058</v>
      </c>
      <c r="F57" s="108">
        <f>'Пр 27 Фин ПП7'!F14</f>
        <v>5387864</v>
      </c>
    </row>
    <row r="58" spans="1:6" ht="15">
      <c r="A58" s="120" t="s">
        <v>20</v>
      </c>
      <c r="B58" s="106" t="s">
        <v>395</v>
      </c>
      <c r="C58" s="107">
        <f>SUM(C59:C62)</f>
        <v>527269402.18</v>
      </c>
      <c r="D58" s="107">
        <f>SUM(D59:D62)</f>
        <v>350174793.18</v>
      </c>
      <c r="E58" s="107">
        <f>SUM(E59:E62)</f>
        <v>172912300</v>
      </c>
      <c r="F58" s="107">
        <f>SUM(F59:F62)</f>
        <v>4182309</v>
      </c>
    </row>
    <row r="59" spans="1:6" ht="15">
      <c r="A59" s="120"/>
      <c r="B59" s="40" t="s">
        <v>393</v>
      </c>
      <c r="C59" s="108">
        <f>SUM(D59:F59)</f>
        <v>324698518</v>
      </c>
      <c r="D59" s="108">
        <f>'Пр 31 Фин ПП8'!D9</f>
        <v>196318309</v>
      </c>
      <c r="E59" s="108">
        <f>'Пр 31 Фин ПП8'!E9</f>
        <v>124197900</v>
      </c>
      <c r="F59" s="108">
        <f>'Пр 31 Фин ПП8'!F9</f>
        <v>4182309</v>
      </c>
    </row>
    <row r="60" spans="1:6" ht="15">
      <c r="A60" s="120"/>
      <c r="B60" s="40" t="s">
        <v>391</v>
      </c>
      <c r="C60" s="108">
        <f>SUM(D60:F60)</f>
        <v>48714400</v>
      </c>
      <c r="D60" s="108">
        <f>'Пр 31 Фин ПП8'!D10</f>
        <v>0</v>
      </c>
      <c r="E60" s="108">
        <f>'Пр 31 Фин ПП8'!E10</f>
        <v>48714400</v>
      </c>
      <c r="F60" s="108">
        <f>'Пр 31 Фин ПП8'!F10</f>
        <v>0</v>
      </c>
    </row>
    <row r="61" spans="1:6" ht="15">
      <c r="A61" s="120"/>
      <c r="B61" s="40" t="s">
        <v>392</v>
      </c>
      <c r="C61" s="108">
        <f>SUM(D61:F61)</f>
        <v>153856484.18</v>
      </c>
      <c r="D61" s="108">
        <f>'Пр 31 Фин ПП8'!D11</f>
        <v>153856484.18</v>
      </c>
      <c r="E61" s="108">
        <f>'Пр 31 Фин ПП8'!E11</f>
        <v>0</v>
      </c>
      <c r="F61" s="108">
        <f>'Пр 31 Фин ПП8'!F11</f>
        <v>0</v>
      </c>
    </row>
    <row r="62" spans="1:6" ht="15">
      <c r="A62" s="120"/>
      <c r="B62" s="40" t="s">
        <v>394</v>
      </c>
      <c r="C62" s="108">
        <f>SUM(D62:F62)</f>
        <v>0</v>
      </c>
      <c r="D62" s="108">
        <f>'Пр 31 Фин ПП8'!D12</f>
        <v>0</v>
      </c>
      <c r="E62" s="108">
        <f>'Пр 31 Фин ПП8'!E12</f>
        <v>0</v>
      </c>
      <c r="F62" s="108">
        <f>'Пр 31 Фин ПП8'!F12</f>
        <v>0</v>
      </c>
    </row>
    <row r="63" spans="1:6" ht="15">
      <c r="A63" s="105"/>
      <c r="B63" s="105"/>
      <c r="C63" s="105"/>
      <c r="D63" s="105"/>
      <c r="E63" s="105"/>
      <c r="F63" s="105"/>
    </row>
    <row r="64" spans="1:6" ht="15">
      <c r="A64" s="105"/>
      <c r="B64" s="105"/>
      <c r="C64" s="105"/>
      <c r="D64" s="105"/>
      <c r="E64" s="105"/>
      <c r="F64" s="105"/>
    </row>
    <row r="65" spans="1:6" ht="15">
      <c r="A65" s="105"/>
      <c r="B65" s="105"/>
      <c r="C65" s="105"/>
      <c r="D65" s="105"/>
      <c r="E65" s="105"/>
      <c r="F65" s="105"/>
    </row>
    <row r="66" spans="1:6" ht="15">
      <c r="A66" s="105"/>
      <c r="B66" s="105"/>
      <c r="C66" s="105"/>
      <c r="D66" s="105"/>
      <c r="E66" s="105"/>
      <c r="F66" s="105"/>
    </row>
    <row r="67" spans="1:6" ht="15">
      <c r="A67" s="105"/>
      <c r="B67" s="105"/>
      <c r="C67" s="105"/>
      <c r="D67" s="105"/>
      <c r="E67" s="105"/>
      <c r="F67" s="105"/>
    </row>
    <row r="68" spans="1:6" ht="15">
      <c r="A68" s="105"/>
      <c r="B68" s="105"/>
      <c r="C68" s="105"/>
      <c r="D68" s="105"/>
      <c r="E68" s="105"/>
      <c r="F68" s="105"/>
    </row>
    <row r="69" spans="1:6" ht="15">
      <c r="A69" s="105"/>
      <c r="B69" s="105"/>
      <c r="C69" s="105"/>
      <c r="D69" s="105"/>
      <c r="E69" s="105"/>
      <c r="F69" s="105"/>
    </row>
    <row r="70" spans="1:6" ht="15">
      <c r="A70" s="105"/>
      <c r="B70" s="105"/>
      <c r="C70" s="105"/>
      <c r="D70" s="105"/>
      <c r="E70" s="105"/>
      <c r="F70" s="105"/>
    </row>
    <row r="71" spans="1:6" ht="15">
      <c r="A71" s="105"/>
      <c r="B71" s="105"/>
      <c r="C71" s="105"/>
      <c r="D71" s="105"/>
      <c r="E71" s="105"/>
      <c r="F71" s="105"/>
    </row>
    <row r="72" spans="1:6" ht="15">
      <c r="A72" s="105"/>
      <c r="B72" s="105"/>
      <c r="C72" s="105"/>
      <c r="D72" s="105"/>
      <c r="E72" s="105"/>
      <c r="F72" s="105"/>
    </row>
    <row r="73" spans="1:6" ht="15">
      <c r="A73" s="105"/>
      <c r="B73" s="105"/>
      <c r="C73" s="105"/>
      <c r="D73" s="105"/>
      <c r="E73" s="105"/>
      <c r="F73" s="105"/>
    </row>
    <row r="74" spans="1:6" ht="15">
      <c r="A74" s="105"/>
      <c r="B74" s="105"/>
      <c r="C74" s="105"/>
      <c r="D74" s="105"/>
      <c r="E74" s="105"/>
      <c r="F74" s="105"/>
    </row>
    <row r="75" spans="1:6" ht="15">
      <c r="A75" s="105"/>
      <c r="B75" s="105"/>
      <c r="C75" s="105"/>
      <c r="D75" s="105"/>
      <c r="E75" s="105"/>
      <c r="F75" s="105"/>
    </row>
    <row r="76" spans="1:6" ht="15">
      <c r="A76" s="105"/>
      <c r="B76" s="105"/>
      <c r="C76" s="105"/>
      <c r="D76" s="105"/>
      <c r="E76" s="105"/>
      <c r="F76" s="105"/>
    </row>
    <row r="77" spans="1:6" ht="15">
      <c r="A77" s="105"/>
      <c r="B77" s="105"/>
      <c r="C77" s="105"/>
      <c r="D77" s="105"/>
      <c r="E77" s="105"/>
      <c r="F77" s="105"/>
    </row>
    <row r="78" spans="1:6" ht="15">
      <c r="A78" s="105"/>
      <c r="B78" s="105"/>
      <c r="C78" s="105"/>
      <c r="D78" s="105"/>
      <c r="E78" s="105"/>
      <c r="F78" s="105"/>
    </row>
    <row r="79" spans="1:6" ht="15">
      <c r="A79" s="105"/>
      <c r="B79" s="105"/>
      <c r="C79" s="105"/>
      <c r="D79" s="105"/>
      <c r="E79" s="105"/>
      <c r="F79" s="105"/>
    </row>
  </sheetData>
  <sheetProtection/>
  <mergeCells count="16">
    <mergeCell ref="A38:A42"/>
    <mergeCell ref="A43:A47"/>
    <mergeCell ref="A3:F3"/>
    <mergeCell ref="A5:A7"/>
    <mergeCell ref="B5:B7"/>
    <mergeCell ref="C5:F5"/>
    <mergeCell ref="E1:F1"/>
    <mergeCell ref="A58:A62"/>
    <mergeCell ref="A23:A27"/>
    <mergeCell ref="A8:A12"/>
    <mergeCell ref="A18:A22"/>
    <mergeCell ref="A13:A17"/>
    <mergeCell ref="A48:A52"/>
    <mergeCell ref="A53:A57"/>
    <mergeCell ref="A28:A32"/>
    <mergeCell ref="A33:A37"/>
  </mergeCells>
  <printOptions/>
  <pageMargins left="0.35" right="0.2" top="0.14" bottom="0.16" header="0.19" footer="0.14"/>
  <pageSetup fitToHeight="1" fitToWidth="1"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30"/>
  <sheetViews>
    <sheetView zoomScalePageLayoutView="0" workbookViewId="0" topLeftCell="A3">
      <selection activeCell="J27" sqref="J27:J30"/>
    </sheetView>
  </sheetViews>
  <sheetFormatPr defaultColWidth="9.140625" defaultRowHeight="15"/>
  <cols>
    <col min="2" max="2" width="31.00390625" style="0" customWidth="1"/>
    <col min="5" max="5" width="13.421875" style="0" customWidth="1"/>
    <col min="6" max="6" width="13.00390625" style="0" customWidth="1"/>
    <col min="7" max="7" width="11.421875" style="0" customWidth="1"/>
    <col min="9" max="9" width="13.00390625" style="0" customWidth="1"/>
    <col min="10" max="10" width="26.00390625" style="0" customWidth="1"/>
    <col min="11" max="11" width="15.140625" style="0" customWidth="1"/>
  </cols>
  <sheetData>
    <row r="1" ht="15">
      <c r="I1" s="14" t="s">
        <v>203</v>
      </c>
    </row>
    <row r="2" ht="15.75">
      <c r="F2" s="12"/>
    </row>
    <row r="3" spans="1:11" ht="37.5" customHeight="1">
      <c r="A3" s="148" t="s">
        <v>204</v>
      </c>
      <c r="B3" s="148"/>
      <c r="C3" s="148"/>
      <c r="D3" s="148"/>
      <c r="E3" s="148"/>
      <c r="F3" s="148"/>
      <c r="G3" s="148"/>
      <c r="H3" s="148"/>
      <c r="I3" s="148"/>
      <c r="J3" s="148"/>
      <c r="K3" s="15"/>
    </row>
    <row r="4" spans="1:11" ht="15" hidden="1">
      <c r="A4" s="15"/>
      <c r="B4" s="15"/>
      <c r="C4" s="15"/>
      <c r="D4" s="15"/>
      <c r="E4" s="15"/>
      <c r="F4" s="39">
        <f>F12-F16-F28</f>
        <v>0</v>
      </c>
      <c r="G4" s="15"/>
      <c r="H4" s="15"/>
      <c r="I4" s="15"/>
      <c r="J4" s="15"/>
      <c r="K4" s="15"/>
    </row>
    <row r="5" spans="1:11" ht="15" hidden="1">
      <c r="A5" s="15"/>
      <c r="B5" s="15"/>
      <c r="C5" s="15"/>
      <c r="D5" s="15"/>
      <c r="E5" s="15"/>
      <c r="F5" s="39">
        <f>F13-F17-F29</f>
        <v>0</v>
      </c>
      <c r="G5" s="15"/>
      <c r="H5" s="15"/>
      <c r="I5" s="15"/>
      <c r="J5" s="15"/>
      <c r="K5" s="15"/>
    </row>
    <row r="6" spans="1:11" ht="15" hidden="1">
      <c r="A6" s="15"/>
      <c r="B6" s="15"/>
      <c r="C6" s="15"/>
      <c r="D6" s="15"/>
      <c r="E6" s="32">
        <f>E11-E15</f>
        <v>0</v>
      </c>
      <c r="F6" s="32">
        <f>F11-F15-F27</f>
        <v>0</v>
      </c>
      <c r="G6" s="32">
        <f>G11-G15-G27</f>
        <v>0</v>
      </c>
      <c r="H6" s="33">
        <f>H11-H15-H27</f>
        <v>0</v>
      </c>
      <c r="I6" s="33">
        <f>I11-I15-I27</f>
        <v>-6188000</v>
      </c>
      <c r="J6" s="15"/>
      <c r="K6" s="15"/>
    </row>
    <row r="7" spans="1:11" ht="15" hidden="1">
      <c r="A7" s="15"/>
      <c r="B7" s="15"/>
      <c r="C7" s="15"/>
      <c r="D7" s="15"/>
      <c r="E7" s="15"/>
      <c r="F7" s="39">
        <f>F14-F18-F30</f>
        <v>0</v>
      </c>
      <c r="G7" s="15"/>
      <c r="H7" s="15"/>
      <c r="I7" s="15"/>
      <c r="J7" s="15"/>
      <c r="K7" s="15"/>
    </row>
    <row r="9" spans="1:11" ht="28.5" customHeight="1">
      <c r="A9" s="241" t="s">
        <v>389</v>
      </c>
      <c r="B9" s="242" t="s">
        <v>437</v>
      </c>
      <c r="C9" s="242" t="s">
        <v>403</v>
      </c>
      <c r="D9" s="242" t="s">
        <v>442</v>
      </c>
      <c r="E9" s="242"/>
      <c r="F9" s="242"/>
      <c r="G9" s="242"/>
      <c r="H9" s="242"/>
      <c r="I9" s="242"/>
      <c r="J9" s="243" t="s">
        <v>417</v>
      </c>
      <c r="K9" s="243" t="s">
        <v>398</v>
      </c>
    </row>
    <row r="10" spans="1:11" ht="36.75" customHeight="1">
      <c r="A10" s="241"/>
      <c r="B10" s="242"/>
      <c r="C10" s="242"/>
      <c r="D10" s="2" t="s">
        <v>390</v>
      </c>
      <c r="E10" s="2" t="s">
        <v>395</v>
      </c>
      <c r="F10" s="2" t="s">
        <v>393</v>
      </c>
      <c r="G10" s="2" t="s">
        <v>391</v>
      </c>
      <c r="H10" s="2" t="s">
        <v>392</v>
      </c>
      <c r="I10" s="2" t="s">
        <v>394</v>
      </c>
      <c r="J10" s="244"/>
      <c r="K10" s="245"/>
    </row>
    <row r="11" spans="1:11" ht="15">
      <c r="A11" s="241"/>
      <c r="B11" s="246" t="s">
        <v>17</v>
      </c>
      <c r="C11" s="242" t="s">
        <v>43</v>
      </c>
      <c r="D11" s="2" t="s">
        <v>395</v>
      </c>
      <c r="E11" s="31">
        <f>F11+G11+H11+I11</f>
        <v>94359743</v>
      </c>
      <c r="F11" s="31">
        <f>SUM(F12:F14)</f>
        <v>88171743</v>
      </c>
      <c r="G11" s="31">
        <f>SUM(G12:G14)</f>
        <v>0</v>
      </c>
      <c r="H11" s="31">
        <f>SUM(H12:H14)</f>
        <v>0</v>
      </c>
      <c r="I11" s="31">
        <f>SUM(I12:I14)</f>
        <v>6188000</v>
      </c>
      <c r="J11" s="243"/>
      <c r="K11" s="243" t="s">
        <v>11</v>
      </c>
    </row>
    <row r="12" spans="1:11" ht="15">
      <c r="A12" s="241"/>
      <c r="B12" s="246"/>
      <c r="C12" s="242"/>
      <c r="D12" s="2">
        <v>2014</v>
      </c>
      <c r="E12" s="31">
        <f>F12+G12+H12+I12</f>
        <v>30100869</v>
      </c>
      <c r="F12" s="30">
        <f>F16</f>
        <v>28400869</v>
      </c>
      <c r="G12" s="30">
        <f>G16</f>
        <v>0</v>
      </c>
      <c r="H12" s="30">
        <f>H16</f>
        <v>0</v>
      </c>
      <c r="I12" s="30">
        <f>I16</f>
        <v>1700000</v>
      </c>
      <c r="J12" s="244"/>
      <c r="K12" s="244"/>
    </row>
    <row r="13" spans="1:11" ht="15">
      <c r="A13" s="241"/>
      <c r="B13" s="246"/>
      <c r="C13" s="242"/>
      <c r="D13" s="2">
        <v>2015</v>
      </c>
      <c r="E13" s="31">
        <f>F13+G13+H13+I13</f>
        <v>31416503</v>
      </c>
      <c r="F13" s="30">
        <f aca="true" t="shared" si="0" ref="F13:I14">F17</f>
        <v>29376503</v>
      </c>
      <c r="G13" s="30">
        <f t="shared" si="0"/>
        <v>0</v>
      </c>
      <c r="H13" s="30">
        <f t="shared" si="0"/>
        <v>0</v>
      </c>
      <c r="I13" s="30">
        <f t="shared" si="0"/>
        <v>2040000</v>
      </c>
      <c r="J13" s="244"/>
      <c r="K13" s="244"/>
    </row>
    <row r="14" spans="1:11" ht="15">
      <c r="A14" s="241"/>
      <c r="B14" s="246"/>
      <c r="C14" s="242"/>
      <c r="D14" s="2">
        <v>2016</v>
      </c>
      <c r="E14" s="31">
        <f>F14+G14+H14+I14</f>
        <v>32842371</v>
      </c>
      <c r="F14" s="30">
        <f t="shared" si="0"/>
        <v>30394371</v>
      </c>
      <c r="G14" s="30">
        <f t="shared" si="0"/>
        <v>0</v>
      </c>
      <c r="H14" s="30">
        <f t="shared" si="0"/>
        <v>0</v>
      </c>
      <c r="I14" s="30">
        <f t="shared" si="0"/>
        <v>2448000</v>
      </c>
      <c r="J14" s="244"/>
      <c r="K14" s="244"/>
    </row>
    <row r="15" spans="1:11" ht="15">
      <c r="A15" s="241" t="s">
        <v>399</v>
      </c>
      <c r="B15" s="247" t="s">
        <v>205</v>
      </c>
      <c r="C15" s="242" t="s">
        <v>43</v>
      </c>
      <c r="D15" s="2" t="s">
        <v>395</v>
      </c>
      <c r="E15" s="31">
        <f>F15+G15+H15+I15</f>
        <v>94359743</v>
      </c>
      <c r="F15" s="31">
        <f>F16+F17+F18</f>
        <v>88171743</v>
      </c>
      <c r="G15" s="31">
        <f>G16+G17+G18</f>
        <v>0</v>
      </c>
      <c r="H15" s="31">
        <f>H16+H17+H18</f>
        <v>0</v>
      </c>
      <c r="I15" s="31">
        <f>I16+I17+I18</f>
        <v>6188000</v>
      </c>
      <c r="J15" s="243"/>
      <c r="K15" s="243" t="s">
        <v>11</v>
      </c>
    </row>
    <row r="16" spans="1:11" ht="15">
      <c r="A16" s="241"/>
      <c r="B16" s="247"/>
      <c r="C16" s="242"/>
      <c r="D16" s="2">
        <v>2014</v>
      </c>
      <c r="E16" s="30">
        <f aca="true" t="shared" si="1" ref="E16:E30">F16+G16+H16+I16</f>
        <v>30100869</v>
      </c>
      <c r="F16" s="30">
        <f>F20+F24+F28</f>
        <v>28400869</v>
      </c>
      <c r="G16" s="30">
        <f>G20+G24+G28</f>
        <v>0</v>
      </c>
      <c r="H16" s="30">
        <f>H20+H24+H28</f>
        <v>0</v>
      </c>
      <c r="I16" s="30">
        <f>I20+I24+I28</f>
        <v>1700000</v>
      </c>
      <c r="J16" s="244"/>
      <c r="K16" s="244"/>
    </row>
    <row r="17" spans="1:11" ht="15">
      <c r="A17" s="241"/>
      <c r="B17" s="247"/>
      <c r="C17" s="242"/>
      <c r="D17" s="2">
        <v>2015</v>
      </c>
      <c r="E17" s="30">
        <f t="shared" si="1"/>
        <v>31416503</v>
      </c>
      <c r="F17" s="30">
        <f aca="true" t="shared" si="2" ref="F17:I18">F21+F25+F29</f>
        <v>29376503</v>
      </c>
      <c r="G17" s="30">
        <f t="shared" si="2"/>
        <v>0</v>
      </c>
      <c r="H17" s="30">
        <f t="shared" si="2"/>
        <v>0</v>
      </c>
      <c r="I17" s="30">
        <f t="shared" si="2"/>
        <v>2040000</v>
      </c>
      <c r="J17" s="244"/>
      <c r="K17" s="244"/>
    </row>
    <row r="18" spans="1:11" ht="15">
      <c r="A18" s="241"/>
      <c r="B18" s="247"/>
      <c r="C18" s="242"/>
      <c r="D18" s="2">
        <v>2016</v>
      </c>
      <c r="E18" s="30">
        <f t="shared" si="1"/>
        <v>32842371</v>
      </c>
      <c r="F18" s="30">
        <f t="shared" si="2"/>
        <v>30394371</v>
      </c>
      <c r="G18" s="30">
        <f t="shared" si="2"/>
        <v>0</v>
      </c>
      <c r="H18" s="30">
        <f t="shared" si="2"/>
        <v>0</v>
      </c>
      <c r="I18" s="30">
        <f t="shared" si="2"/>
        <v>2448000</v>
      </c>
      <c r="J18" s="244"/>
      <c r="K18" s="244"/>
    </row>
    <row r="19" spans="1:11" ht="15">
      <c r="A19" s="241" t="s">
        <v>396</v>
      </c>
      <c r="B19" s="247" t="s">
        <v>358</v>
      </c>
      <c r="C19" s="242" t="s">
        <v>43</v>
      </c>
      <c r="D19" s="2" t="s">
        <v>395</v>
      </c>
      <c r="E19" s="31">
        <f t="shared" si="1"/>
        <v>87828487</v>
      </c>
      <c r="F19" s="31">
        <f>F20+F21+F22</f>
        <v>87828487</v>
      </c>
      <c r="G19" s="31">
        <f>G20+G21+G22</f>
        <v>0</v>
      </c>
      <c r="H19" s="31">
        <f>H20+H21+H22</f>
        <v>0</v>
      </c>
      <c r="I19" s="31">
        <f>I20+I21+I22</f>
        <v>0</v>
      </c>
      <c r="J19" s="243" t="s">
        <v>359</v>
      </c>
      <c r="K19" s="243" t="s">
        <v>11</v>
      </c>
    </row>
    <row r="20" spans="1:11" ht="15">
      <c r="A20" s="241"/>
      <c r="B20" s="247"/>
      <c r="C20" s="242"/>
      <c r="D20" s="2">
        <v>2014</v>
      </c>
      <c r="E20" s="30">
        <f t="shared" si="1"/>
        <v>28284131</v>
      </c>
      <c r="F20" s="30">
        <v>28284131</v>
      </c>
      <c r="G20" s="30"/>
      <c r="H20" s="30"/>
      <c r="I20" s="30"/>
      <c r="J20" s="244"/>
      <c r="K20" s="244"/>
    </row>
    <row r="21" spans="1:11" ht="15">
      <c r="A21" s="241"/>
      <c r="B21" s="247"/>
      <c r="C21" s="242"/>
      <c r="D21" s="2">
        <v>2015</v>
      </c>
      <c r="E21" s="30">
        <f t="shared" si="1"/>
        <v>29262100</v>
      </c>
      <c r="F21" s="30">
        <v>29262100</v>
      </c>
      <c r="G21" s="30"/>
      <c r="H21" s="30"/>
      <c r="I21" s="30"/>
      <c r="J21" s="244"/>
      <c r="K21" s="244"/>
    </row>
    <row r="22" spans="1:11" ht="22.5" customHeight="1">
      <c r="A22" s="241"/>
      <c r="B22" s="247"/>
      <c r="C22" s="242"/>
      <c r="D22" s="2">
        <v>2016</v>
      </c>
      <c r="E22" s="30">
        <f t="shared" si="1"/>
        <v>30282256</v>
      </c>
      <c r="F22" s="30">
        <v>30282256</v>
      </c>
      <c r="G22" s="30"/>
      <c r="H22" s="30"/>
      <c r="I22" s="30"/>
      <c r="J22" s="244"/>
      <c r="K22" s="244"/>
    </row>
    <row r="23" spans="1:11" ht="15">
      <c r="A23" s="248" t="s">
        <v>397</v>
      </c>
      <c r="B23" s="251" t="s">
        <v>360</v>
      </c>
      <c r="C23" s="248" t="s">
        <v>43</v>
      </c>
      <c r="D23" s="2" t="s">
        <v>395</v>
      </c>
      <c r="E23" s="31">
        <f t="shared" si="1"/>
        <v>343256</v>
      </c>
      <c r="F23" s="31">
        <f>F24+F25+F26</f>
        <v>343256</v>
      </c>
      <c r="G23" s="31">
        <f>G24+G25+G26</f>
        <v>0</v>
      </c>
      <c r="H23" s="31">
        <f>H24+H25+H26</f>
        <v>0</v>
      </c>
      <c r="I23" s="31">
        <f>I24+I25+I26</f>
        <v>0</v>
      </c>
      <c r="J23" s="242" t="s">
        <v>361</v>
      </c>
      <c r="K23" s="242" t="s">
        <v>11</v>
      </c>
    </row>
    <row r="24" spans="1:11" ht="15">
      <c r="A24" s="249"/>
      <c r="B24" s="252"/>
      <c r="C24" s="249"/>
      <c r="D24" s="2">
        <v>2014</v>
      </c>
      <c r="E24" s="30">
        <f t="shared" si="1"/>
        <v>116738</v>
      </c>
      <c r="F24" s="30">
        <v>116738</v>
      </c>
      <c r="G24" s="30"/>
      <c r="H24" s="30"/>
      <c r="I24" s="30"/>
      <c r="J24" s="254"/>
      <c r="K24" s="242"/>
    </row>
    <row r="25" spans="1:11" ht="15">
      <c r="A25" s="249"/>
      <c r="B25" s="252"/>
      <c r="C25" s="249"/>
      <c r="D25" s="2">
        <v>2015</v>
      </c>
      <c r="E25" s="30">
        <f t="shared" si="1"/>
        <v>114403</v>
      </c>
      <c r="F25" s="30">
        <v>114403</v>
      </c>
      <c r="G25" s="30"/>
      <c r="H25" s="30"/>
      <c r="I25" s="30"/>
      <c r="J25" s="254"/>
      <c r="K25" s="242"/>
    </row>
    <row r="26" spans="1:11" ht="15">
      <c r="A26" s="250"/>
      <c r="B26" s="253"/>
      <c r="C26" s="250"/>
      <c r="D26" s="2">
        <v>2016</v>
      </c>
      <c r="E26" s="30">
        <f t="shared" si="1"/>
        <v>112115</v>
      </c>
      <c r="F26" s="30">
        <v>112115</v>
      </c>
      <c r="G26" s="30"/>
      <c r="H26" s="30"/>
      <c r="I26" s="30"/>
      <c r="J26" s="254"/>
      <c r="K26" s="242"/>
    </row>
    <row r="27" spans="1:11" ht="15" customHeight="1">
      <c r="A27" s="248" t="s">
        <v>424</v>
      </c>
      <c r="B27" s="251" t="s">
        <v>362</v>
      </c>
      <c r="C27" s="248" t="s">
        <v>43</v>
      </c>
      <c r="D27" s="2" t="s">
        <v>395</v>
      </c>
      <c r="E27" s="31">
        <f t="shared" si="1"/>
        <v>6188000</v>
      </c>
      <c r="F27" s="31">
        <f>F28+F29+F30</f>
        <v>0</v>
      </c>
      <c r="G27" s="31">
        <f>G28+G29+G30</f>
        <v>0</v>
      </c>
      <c r="H27" s="31">
        <f>H28+H29+H30</f>
        <v>0</v>
      </c>
      <c r="I27" s="31">
        <f>I28+I29+I30</f>
        <v>6188000</v>
      </c>
      <c r="J27" s="242" t="s">
        <v>363</v>
      </c>
      <c r="K27" s="242" t="s">
        <v>11</v>
      </c>
    </row>
    <row r="28" spans="1:11" ht="15">
      <c r="A28" s="249"/>
      <c r="B28" s="252"/>
      <c r="C28" s="249"/>
      <c r="D28" s="2">
        <v>2014</v>
      </c>
      <c r="E28" s="30">
        <f t="shared" si="1"/>
        <v>1700000</v>
      </c>
      <c r="F28" s="30"/>
      <c r="G28" s="30"/>
      <c r="H28" s="30"/>
      <c r="I28" s="30">
        <v>1700000</v>
      </c>
      <c r="J28" s="254"/>
      <c r="K28" s="242"/>
    </row>
    <row r="29" spans="1:11" ht="15">
      <c r="A29" s="249"/>
      <c r="B29" s="252"/>
      <c r="C29" s="249"/>
      <c r="D29" s="2">
        <v>2015</v>
      </c>
      <c r="E29" s="30">
        <f t="shared" si="1"/>
        <v>2040000</v>
      </c>
      <c r="F29" s="30"/>
      <c r="G29" s="30"/>
      <c r="H29" s="30"/>
      <c r="I29" s="30">
        <v>2040000</v>
      </c>
      <c r="J29" s="254"/>
      <c r="K29" s="242"/>
    </row>
    <row r="30" spans="1:11" ht="15">
      <c r="A30" s="250"/>
      <c r="B30" s="253"/>
      <c r="C30" s="250"/>
      <c r="D30" s="2">
        <v>2016</v>
      </c>
      <c r="E30" s="30">
        <f t="shared" si="1"/>
        <v>2448000</v>
      </c>
      <c r="F30" s="30"/>
      <c r="G30" s="30"/>
      <c r="H30" s="30"/>
      <c r="I30" s="30">
        <v>2448000</v>
      </c>
      <c r="J30" s="254"/>
      <c r="K30" s="242"/>
    </row>
  </sheetData>
  <sheetProtection/>
  <mergeCells count="32">
    <mergeCell ref="K27:K30"/>
    <mergeCell ref="A23:A26"/>
    <mergeCell ref="B23:B26"/>
    <mergeCell ref="C23:C26"/>
    <mergeCell ref="J23:J26"/>
    <mergeCell ref="K23:K26"/>
    <mergeCell ref="A27:A30"/>
    <mergeCell ref="B27:B30"/>
    <mergeCell ref="C27:C30"/>
    <mergeCell ref="J27:J30"/>
    <mergeCell ref="K15:K18"/>
    <mergeCell ref="A19:A22"/>
    <mergeCell ref="B19:B22"/>
    <mergeCell ref="C19:C22"/>
    <mergeCell ref="J19:J22"/>
    <mergeCell ref="K19:K22"/>
    <mergeCell ref="A15:A18"/>
    <mergeCell ref="B15:B18"/>
    <mergeCell ref="C15:C18"/>
    <mergeCell ref="J15:J18"/>
    <mergeCell ref="K9:K10"/>
    <mergeCell ref="A11:A14"/>
    <mergeCell ref="B11:B14"/>
    <mergeCell ref="C11:C14"/>
    <mergeCell ref="J11:J14"/>
    <mergeCell ref="K11:K14"/>
    <mergeCell ref="A3:J3"/>
    <mergeCell ref="A9:A10"/>
    <mergeCell ref="B9:B10"/>
    <mergeCell ref="C9:C10"/>
    <mergeCell ref="D9:I9"/>
    <mergeCell ref="J9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1"/>
  </sheetPr>
  <dimension ref="A1:J9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32.00390625" style="0" customWidth="1"/>
    <col min="3" max="3" width="13.57421875" style="0" customWidth="1"/>
    <col min="7" max="7" width="15.140625" style="0" customWidth="1"/>
    <col min="8" max="8" width="12.8515625" style="0" customWidth="1"/>
    <col min="9" max="9" width="14.28125" style="0" customWidth="1"/>
    <col min="10" max="10" width="19.421875" style="0" customWidth="1"/>
  </cols>
  <sheetData>
    <row r="1" spans="1:10" ht="15.75">
      <c r="A1" s="11"/>
      <c r="B1" s="13"/>
      <c r="C1" s="13"/>
      <c r="D1" s="13"/>
      <c r="E1" s="13"/>
      <c r="F1" s="13"/>
      <c r="G1" s="166" t="s">
        <v>206</v>
      </c>
      <c r="H1" s="166"/>
      <c r="I1" s="166"/>
      <c r="J1" s="166"/>
    </row>
    <row r="2" spans="1:10" ht="15.75">
      <c r="A2" s="11"/>
      <c r="B2" s="13"/>
      <c r="C2" s="13"/>
      <c r="D2" s="13"/>
      <c r="E2" s="13"/>
      <c r="F2" s="12"/>
      <c r="G2" s="13"/>
      <c r="H2" s="13"/>
      <c r="I2" s="13"/>
      <c r="J2" s="11"/>
    </row>
    <row r="3" spans="1:10" ht="33.75" customHeight="1">
      <c r="A3" s="11"/>
      <c r="B3" s="170" t="s">
        <v>439</v>
      </c>
      <c r="C3" s="170"/>
      <c r="D3" s="170"/>
      <c r="E3" s="170"/>
      <c r="F3" s="170"/>
      <c r="G3" s="170"/>
      <c r="H3" s="170"/>
      <c r="I3" s="170"/>
      <c r="J3" s="11"/>
    </row>
    <row r="4" spans="1:10" ht="15.75">
      <c r="A4" s="11"/>
      <c r="B4" s="13"/>
      <c r="C4" s="13"/>
      <c r="D4" s="13"/>
      <c r="E4" s="13"/>
      <c r="F4" s="13"/>
      <c r="G4" s="13"/>
      <c r="H4" s="13"/>
      <c r="I4" s="13"/>
      <c r="J4" s="11"/>
    </row>
    <row r="5" spans="1:10" ht="15">
      <c r="A5" s="167" t="s">
        <v>410</v>
      </c>
      <c r="B5" s="167" t="s">
        <v>433</v>
      </c>
      <c r="C5" s="167" t="s">
        <v>428</v>
      </c>
      <c r="D5" s="197" t="s">
        <v>426</v>
      </c>
      <c r="E5" s="197"/>
      <c r="F5" s="197"/>
      <c r="G5" s="197" t="s">
        <v>443</v>
      </c>
      <c r="H5" s="197"/>
      <c r="I5" s="197"/>
      <c r="J5" s="197" t="s">
        <v>405</v>
      </c>
    </row>
    <row r="6" spans="1:10" ht="15">
      <c r="A6" s="168"/>
      <c r="B6" s="168"/>
      <c r="C6" s="168"/>
      <c r="D6" s="20" t="s">
        <v>364</v>
      </c>
      <c r="E6" s="20" t="s">
        <v>386</v>
      </c>
      <c r="F6" s="20" t="s">
        <v>387</v>
      </c>
      <c r="G6" s="20" t="s">
        <v>364</v>
      </c>
      <c r="H6" s="20" t="s">
        <v>386</v>
      </c>
      <c r="I6" s="20" t="s">
        <v>387</v>
      </c>
      <c r="J6" s="197"/>
    </row>
    <row r="7" spans="1:10" ht="26.25" customHeight="1">
      <c r="A7" s="8"/>
      <c r="B7" s="194" t="s">
        <v>17</v>
      </c>
      <c r="C7" s="198"/>
      <c r="D7" s="198"/>
      <c r="E7" s="198"/>
      <c r="F7" s="198"/>
      <c r="G7" s="198"/>
      <c r="H7" s="198"/>
      <c r="I7" s="198"/>
      <c r="J7" s="199"/>
    </row>
    <row r="8" spans="1:10" ht="41.25" customHeight="1">
      <c r="A8" s="8" t="s">
        <v>399</v>
      </c>
      <c r="B8" s="194" t="s">
        <v>358</v>
      </c>
      <c r="C8" s="198"/>
      <c r="D8" s="198"/>
      <c r="E8" s="198"/>
      <c r="F8" s="198"/>
      <c r="G8" s="198"/>
      <c r="H8" s="198"/>
      <c r="I8" s="198"/>
      <c r="J8" s="199"/>
    </row>
    <row r="9" spans="1:10" ht="68.25" customHeight="1">
      <c r="A9" s="34" t="s">
        <v>396</v>
      </c>
      <c r="B9" s="18" t="s">
        <v>207</v>
      </c>
      <c r="C9" s="18" t="s">
        <v>196</v>
      </c>
      <c r="D9" s="18">
        <v>35</v>
      </c>
      <c r="E9" s="18">
        <v>35</v>
      </c>
      <c r="F9" s="18">
        <v>35</v>
      </c>
      <c r="G9" s="35">
        <f>'ПР20 ОМ5'!F16</f>
        <v>28400869</v>
      </c>
      <c r="H9" s="35">
        <f>'ПР20 ОМ5'!F17</f>
        <v>29376503</v>
      </c>
      <c r="I9" s="35">
        <f>'ПР20 ОМ5'!F18</f>
        <v>30394371</v>
      </c>
      <c r="J9" s="36"/>
    </row>
  </sheetData>
  <sheetProtection/>
  <mergeCells count="10">
    <mergeCell ref="G1:J1"/>
    <mergeCell ref="J5:J6"/>
    <mergeCell ref="B7:J7"/>
    <mergeCell ref="B3:I3"/>
    <mergeCell ref="G5:I5"/>
    <mergeCell ref="B8:J8"/>
    <mergeCell ref="A5:A6"/>
    <mergeCell ref="B5:B6"/>
    <mergeCell ref="C5:C6"/>
    <mergeCell ref="D5:F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15"/>
  <sheetViews>
    <sheetView zoomScalePageLayoutView="0" workbookViewId="0" topLeftCell="A1">
      <selection activeCell="A11" sqref="A11:W11"/>
    </sheetView>
  </sheetViews>
  <sheetFormatPr defaultColWidth="9.140625" defaultRowHeight="15"/>
  <cols>
    <col min="1" max="1" width="9.140625" style="50" customWidth="1"/>
    <col min="2" max="2" width="29.8515625" style="50" customWidth="1"/>
    <col min="3" max="12" width="9.140625" style="50" customWidth="1"/>
    <col min="13" max="22" width="0" style="50" hidden="1" customWidth="1"/>
    <col min="23" max="23" width="14.7109375" style="50" customWidth="1"/>
    <col min="24" max="24" width="18.421875" style="50" customWidth="1"/>
    <col min="25" max="16384" width="9.140625" style="50" customWidth="1"/>
  </cols>
  <sheetData>
    <row r="1" spans="1:24" ht="15.7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 t="s">
        <v>197</v>
      </c>
      <c r="V1" s="56"/>
      <c r="W1" s="176" t="s">
        <v>208</v>
      </c>
      <c r="X1" s="177"/>
    </row>
    <row r="2" spans="1:24" ht="29.25" customHeight="1">
      <c r="A2" s="163" t="s">
        <v>209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55"/>
    </row>
    <row r="3" ht="15">
      <c r="A3" s="59"/>
    </row>
    <row r="4" spans="1:24" ht="15">
      <c r="A4" s="128" t="s">
        <v>410</v>
      </c>
      <c r="B4" s="128" t="s">
        <v>421</v>
      </c>
      <c r="C4" s="128" t="s">
        <v>411</v>
      </c>
      <c r="D4" s="128" t="s">
        <v>0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5" t="s">
        <v>414</v>
      </c>
      <c r="X4" s="128" t="s">
        <v>429</v>
      </c>
    </row>
    <row r="5" spans="1:24" ht="15">
      <c r="A5" s="128"/>
      <c r="B5" s="128"/>
      <c r="C5" s="128"/>
      <c r="D5" s="49">
        <v>2012</v>
      </c>
      <c r="E5" s="137">
        <v>2013</v>
      </c>
      <c r="F5" s="138"/>
      <c r="G5" s="131">
        <v>2014</v>
      </c>
      <c r="H5" s="131"/>
      <c r="I5" s="131">
        <v>2015</v>
      </c>
      <c r="J5" s="131"/>
      <c r="K5" s="131">
        <v>2016</v>
      </c>
      <c r="L5" s="131"/>
      <c r="M5" s="131">
        <v>2017</v>
      </c>
      <c r="N5" s="131"/>
      <c r="O5" s="131">
        <v>2018</v>
      </c>
      <c r="P5" s="131"/>
      <c r="Q5" s="131">
        <v>2019</v>
      </c>
      <c r="R5" s="131"/>
      <c r="S5" s="131">
        <v>2020</v>
      </c>
      <c r="T5" s="131"/>
      <c r="U5" s="131" t="s">
        <v>402</v>
      </c>
      <c r="V5" s="131"/>
      <c r="W5" s="126"/>
      <c r="X5" s="128"/>
    </row>
    <row r="6" spans="1:24" ht="15">
      <c r="A6" s="128"/>
      <c r="B6" s="128"/>
      <c r="C6" s="128"/>
      <c r="D6" s="49" t="s">
        <v>412</v>
      </c>
      <c r="E6" s="49" t="s">
        <v>413</v>
      </c>
      <c r="F6" s="49" t="s">
        <v>412</v>
      </c>
      <c r="G6" s="49" t="s">
        <v>413</v>
      </c>
      <c r="H6" s="49" t="s">
        <v>412</v>
      </c>
      <c r="I6" s="49" t="s">
        <v>413</v>
      </c>
      <c r="J6" s="49" t="s">
        <v>412</v>
      </c>
      <c r="K6" s="49" t="s">
        <v>413</v>
      </c>
      <c r="L6" s="49" t="s">
        <v>412</v>
      </c>
      <c r="M6" s="49" t="s">
        <v>413</v>
      </c>
      <c r="N6" s="49" t="s">
        <v>412</v>
      </c>
      <c r="O6" s="49" t="s">
        <v>413</v>
      </c>
      <c r="P6" s="49" t="s">
        <v>412</v>
      </c>
      <c r="Q6" s="49" t="s">
        <v>413</v>
      </c>
      <c r="R6" s="49" t="s">
        <v>412</v>
      </c>
      <c r="S6" s="49" t="s">
        <v>413</v>
      </c>
      <c r="T6" s="49" t="s">
        <v>412</v>
      </c>
      <c r="U6" s="49" t="s">
        <v>413</v>
      </c>
      <c r="V6" s="49" t="s">
        <v>412</v>
      </c>
      <c r="W6" s="127"/>
      <c r="X6" s="128"/>
    </row>
    <row r="7" spans="1:24" ht="29.25" customHeight="1">
      <c r="A7" s="49"/>
      <c r="B7" s="133" t="s">
        <v>210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15">
      <c r="A8" s="49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4" ht="66" customHeight="1">
      <c r="A9" s="49" t="s">
        <v>396</v>
      </c>
      <c r="B9" s="40" t="s">
        <v>211</v>
      </c>
      <c r="C9" s="49" t="s">
        <v>2</v>
      </c>
      <c r="D9" s="40">
        <v>100</v>
      </c>
      <c r="E9" s="40">
        <v>100</v>
      </c>
      <c r="F9" s="40"/>
      <c r="G9" s="40">
        <v>100</v>
      </c>
      <c r="H9" s="40"/>
      <c r="I9" s="40">
        <v>100</v>
      </c>
      <c r="J9" s="40"/>
      <c r="K9" s="40">
        <v>100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218</v>
      </c>
      <c r="X9" s="40"/>
    </row>
    <row r="10" spans="1:24" ht="64.5" customHeight="1">
      <c r="A10" s="49" t="s">
        <v>397</v>
      </c>
      <c r="B10" s="40" t="s">
        <v>212</v>
      </c>
      <c r="C10" s="49" t="s">
        <v>2</v>
      </c>
      <c r="D10" s="40">
        <v>16</v>
      </c>
      <c r="E10" s="40">
        <v>17</v>
      </c>
      <c r="F10" s="40"/>
      <c r="G10" s="40">
        <v>20</v>
      </c>
      <c r="H10" s="40"/>
      <c r="I10" s="40">
        <v>20</v>
      </c>
      <c r="J10" s="40"/>
      <c r="K10" s="40">
        <v>20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218</v>
      </c>
      <c r="X10" s="40"/>
    </row>
    <row r="11" spans="1:24" ht="64.5" customHeight="1">
      <c r="A11" s="49" t="s">
        <v>424</v>
      </c>
      <c r="B11" s="40" t="s">
        <v>213</v>
      </c>
      <c r="C11" s="49" t="s">
        <v>2</v>
      </c>
      <c r="D11" s="40">
        <v>79</v>
      </c>
      <c r="E11" s="40">
        <v>80</v>
      </c>
      <c r="F11" s="40"/>
      <c r="G11" s="40">
        <v>90</v>
      </c>
      <c r="H11" s="40"/>
      <c r="I11" s="40">
        <v>91</v>
      </c>
      <c r="J11" s="40"/>
      <c r="K11" s="40">
        <v>92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218</v>
      </c>
      <c r="X11" s="40"/>
    </row>
    <row r="12" spans="1:24" ht="15">
      <c r="A12" s="49" t="s">
        <v>419</v>
      </c>
      <c r="B12" s="133" t="s">
        <v>422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</row>
    <row r="13" spans="1:24" ht="15">
      <c r="A13" s="49" t="s">
        <v>401</v>
      </c>
      <c r="B13" s="132" t="s">
        <v>259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38.25">
      <c r="A14" s="49" t="s">
        <v>415</v>
      </c>
      <c r="B14" s="25" t="s">
        <v>260</v>
      </c>
      <c r="C14" s="49" t="s">
        <v>221</v>
      </c>
      <c r="D14" s="25">
        <v>1</v>
      </c>
      <c r="E14" s="25">
        <v>1</v>
      </c>
      <c r="F14" s="25"/>
      <c r="G14" s="25">
        <v>1</v>
      </c>
      <c r="H14" s="25"/>
      <c r="I14" s="25">
        <v>1</v>
      </c>
      <c r="J14" s="25"/>
      <c r="K14" s="25">
        <v>1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0" t="s">
        <v>218</v>
      </c>
      <c r="X14" s="40"/>
    </row>
    <row r="15" spans="1:24" ht="46.5" customHeight="1">
      <c r="A15" s="49" t="s">
        <v>415</v>
      </c>
      <c r="B15" s="25" t="s">
        <v>261</v>
      </c>
      <c r="C15" s="49" t="s">
        <v>221</v>
      </c>
      <c r="D15" s="25">
        <v>1</v>
      </c>
      <c r="E15" s="25">
        <v>1</v>
      </c>
      <c r="F15" s="25"/>
      <c r="G15" s="25">
        <v>1</v>
      </c>
      <c r="H15" s="25"/>
      <c r="I15" s="25">
        <v>1</v>
      </c>
      <c r="J15" s="25"/>
      <c r="K15" s="25">
        <v>1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218</v>
      </c>
      <c r="X15" s="40"/>
    </row>
  </sheetData>
  <sheetProtection/>
  <mergeCells count="21">
    <mergeCell ref="B13:X13"/>
    <mergeCell ref="S5:T5"/>
    <mergeCell ref="Q5:R5"/>
    <mergeCell ref="E5:F5"/>
    <mergeCell ref="I5:J5"/>
    <mergeCell ref="M5:N5"/>
    <mergeCell ref="B12:X12"/>
    <mergeCell ref="W4:W6"/>
    <mergeCell ref="K5:L5"/>
    <mergeCell ref="X4:X6"/>
    <mergeCell ref="O5:P5"/>
    <mergeCell ref="B7:X7"/>
    <mergeCell ref="B8:X8"/>
    <mergeCell ref="U5:V5"/>
    <mergeCell ref="W1:X1"/>
    <mergeCell ref="A2:W2"/>
    <mergeCell ref="A4:A6"/>
    <mergeCell ref="B4:B6"/>
    <mergeCell ref="C4:C6"/>
    <mergeCell ref="D4:V4"/>
    <mergeCell ref="G5:H5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7"/>
  <sheetViews>
    <sheetView zoomScalePageLayoutView="0" workbookViewId="0" topLeftCell="A1">
      <selection activeCell="C6" sqref="C6:L19"/>
    </sheetView>
  </sheetViews>
  <sheetFormatPr defaultColWidth="9.140625" defaultRowHeight="15"/>
  <cols>
    <col min="1" max="1" width="28.00390625" style="50" customWidth="1"/>
    <col min="2" max="2" width="9.140625" style="50" customWidth="1"/>
    <col min="3" max="4" width="14.57421875" style="50" customWidth="1"/>
    <col min="5" max="5" width="14.7109375" style="50" customWidth="1"/>
    <col min="6" max="6" width="14.140625" style="50" customWidth="1"/>
    <col min="7" max="11" width="0" style="50" hidden="1" customWidth="1"/>
    <col min="12" max="16384" width="9.140625" style="50" customWidth="1"/>
  </cols>
  <sheetData>
    <row r="1" spans="5:6" ht="30.75" customHeight="1">
      <c r="E1" s="255" t="s">
        <v>301</v>
      </c>
      <c r="F1" s="255"/>
    </row>
    <row r="3" spans="1:11" ht="29.25" customHeight="1">
      <c r="A3" s="163" t="s">
        <v>268</v>
      </c>
      <c r="B3" s="163"/>
      <c r="C3" s="163"/>
      <c r="D3" s="163"/>
      <c r="E3" s="163"/>
      <c r="F3" s="163"/>
      <c r="G3" s="163"/>
      <c r="H3" s="163"/>
      <c r="I3" s="163"/>
      <c r="J3" s="163"/>
      <c r="K3" s="58"/>
    </row>
    <row r="5" spans="1:11" ht="15">
      <c r="A5" s="225"/>
      <c r="B5" s="179"/>
      <c r="C5" s="228" t="s">
        <v>441</v>
      </c>
      <c r="D5" s="229"/>
      <c r="E5" s="229"/>
      <c r="F5" s="229"/>
      <c r="G5" s="229"/>
      <c r="H5" s="229"/>
      <c r="I5" s="229"/>
      <c r="J5" s="229"/>
      <c r="K5" s="230"/>
    </row>
    <row r="6" spans="1:11" ht="15">
      <c r="A6" s="226"/>
      <c r="B6" s="180"/>
      <c r="C6" s="84" t="s">
        <v>395</v>
      </c>
      <c r="D6" s="84">
        <v>2014</v>
      </c>
      <c r="E6" s="84">
        <v>2015</v>
      </c>
      <c r="F6" s="84">
        <v>2016</v>
      </c>
      <c r="G6" s="84">
        <v>2017</v>
      </c>
      <c r="H6" s="84">
        <v>2018</v>
      </c>
      <c r="I6" s="84">
        <v>2019</v>
      </c>
      <c r="J6" s="84">
        <v>2020</v>
      </c>
      <c r="K6" s="85" t="s">
        <v>402</v>
      </c>
    </row>
    <row r="7" spans="1:11" ht="15">
      <c r="A7" s="227"/>
      <c r="B7" s="181"/>
      <c r="C7" s="83" t="s">
        <v>440</v>
      </c>
      <c r="D7" s="83" t="s">
        <v>440</v>
      </c>
      <c r="E7" s="83" t="s">
        <v>440</v>
      </c>
      <c r="F7" s="83" t="s">
        <v>440</v>
      </c>
      <c r="G7" s="83" t="s">
        <v>440</v>
      </c>
      <c r="H7" s="83" t="s">
        <v>440</v>
      </c>
      <c r="I7" s="83" t="s">
        <v>440</v>
      </c>
      <c r="J7" s="83" t="s">
        <v>440</v>
      </c>
      <c r="K7" s="83" t="s">
        <v>440</v>
      </c>
    </row>
    <row r="8" spans="1:11" ht="15">
      <c r="A8" s="147" t="s">
        <v>18</v>
      </c>
      <c r="B8" s="86" t="s">
        <v>395</v>
      </c>
      <c r="C8" s="87">
        <f>C9+C10+C12</f>
        <v>128112071</v>
      </c>
      <c r="D8" s="88">
        <f>D9+D10+D11+D12</f>
        <v>41938334</v>
      </c>
      <c r="E8" s="88">
        <f>E9+E10+E11+E12</f>
        <v>42382504</v>
      </c>
      <c r="F8" s="88">
        <f>F9+F10+F11+F12</f>
        <v>43791233</v>
      </c>
      <c r="G8" s="89"/>
      <c r="H8" s="86"/>
      <c r="I8" s="86"/>
      <c r="J8" s="86"/>
      <c r="K8" s="86"/>
    </row>
    <row r="9" spans="1:11" ht="15">
      <c r="A9" s="147"/>
      <c r="B9" s="89" t="s">
        <v>393</v>
      </c>
      <c r="C9" s="88">
        <f>D9+E9+F9</f>
        <v>17987124</v>
      </c>
      <c r="D9" s="88">
        <f aca="true" t="shared" si="0" ref="D9:F10">D14</f>
        <v>5920094</v>
      </c>
      <c r="E9" s="88">
        <f t="shared" si="0"/>
        <v>5959497</v>
      </c>
      <c r="F9" s="88">
        <f t="shared" si="0"/>
        <v>6107533</v>
      </c>
      <c r="G9" s="89"/>
      <c r="H9" s="86"/>
      <c r="I9" s="86"/>
      <c r="J9" s="86"/>
      <c r="K9" s="86"/>
    </row>
    <row r="10" spans="1:11" ht="15">
      <c r="A10" s="147"/>
      <c r="B10" s="89" t="s">
        <v>391</v>
      </c>
      <c r="C10" s="88">
        <f>D10+E10+F10</f>
        <v>48969900</v>
      </c>
      <c r="D10" s="88">
        <f t="shared" si="0"/>
        <v>16180900</v>
      </c>
      <c r="E10" s="88">
        <f t="shared" si="0"/>
        <v>16322800</v>
      </c>
      <c r="F10" s="88">
        <f t="shared" si="0"/>
        <v>16466200</v>
      </c>
      <c r="G10" s="89"/>
      <c r="H10" s="86"/>
      <c r="I10" s="86"/>
      <c r="J10" s="86"/>
      <c r="K10" s="86"/>
    </row>
    <row r="11" spans="1:11" ht="15">
      <c r="A11" s="147"/>
      <c r="B11" s="89" t="s">
        <v>392</v>
      </c>
      <c r="C11" s="88">
        <v>0</v>
      </c>
      <c r="D11" s="88">
        <v>0</v>
      </c>
      <c r="E11" s="88">
        <v>0</v>
      </c>
      <c r="F11" s="88">
        <v>0</v>
      </c>
      <c r="G11" s="89"/>
      <c r="H11" s="86"/>
      <c r="I11" s="86"/>
      <c r="J11" s="86"/>
      <c r="K11" s="86"/>
    </row>
    <row r="12" spans="1:11" ht="32.25" customHeight="1">
      <c r="A12" s="147"/>
      <c r="B12" s="89" t="s">
        <v>394</v>
      </c>
      <c r="C12" s="88">
        <f>D12+E12+F12</f>
        <v>61155047</v>
      </c>
      <c r="D12" s="88">
        <f>D17</f>
        <v>19837340</v>
      </c>
      <c r="E12" s="88">
        <f>E17</f>
        <v>20100207</v>
      </c>
      <c r="F12" s="88">
        <f>F17</f>
        <v>21217500</v>
      </c>
      <c r="G12" s="89"/>
      <c r="H12" s="86"/>
      <c r="I12" s="86"/>
      <c r="J12" s="86"/>
      <c r="K12" s="86"/>
    </row>
    <row r="13" spans="1:11" ht="15">
      <c r="A13" s="147" t="s">
        <v>11</v>
      </c>
      <c r="B13" s="86" t="s">
        <v>395</v>
      </c>
      <c r="C13" s="87">
        <f>C14+C15+C17</f>
        <v>128112071</v>
      </c>
      <c r="D13" s="88">
        <f>D14+D15+D17</f>
        <v>41938334</v>
      </c>
      <c r="E13" s="88">
        <f>E14+E15+E17</f>
        <v>42382504</v>
      </c>
      <c r="F13" s="88">
        <f>F14+F15+F17</f>
        <v>43791233</v>
      </c>
      <c r="G13" s="89"/>
      <c r="H13" s="86"/>
      <c r="I13" s="86"/>
      <c r="J13" s="86"/>
      <c r="K13" s="86"/>
    </row>
    <row r="14" spans="1:11" ht="15">
      <c r="A14" s="147"/>
      <c r="B14" s="89" t="s">
        <v>393</v>
      </c>
      <c r="C14" s="88">
        <f>D14+E14+F14</f>
        <v>17987124</v>
      </c>
      <c r="D14" s="88">
        <f>'ПР24 ОМ6'!F12</f>
        <v>5920094</v>
      </c>
      <c r="E14" s="88">
        <f>'ПР24 ОМ6'!F13</f>
        <v>5959497</v>
      </c>
      <c r="F14" s="88">
        <f>'ПР24 ОМ6'!F14</f>
        <v>6107533</v>
      </c>
      <c r="G14" s="89"/>
      <c r="H14" s="86"/>
      <c r="I14" s="86"/>
      <c r="J14" s="86"/>
      <c r="K14" s="86"/>
    </row>
    <row r="15" spans="1:11" ht="15">
      <c r="A15" s="147"/>
      <c r="B15" s="89" t="s">
        <v>391</v>
      </c>
      <c r="C15" s="88">
        <f>D15+E15+F15</f>
        <v>48969900</v>
      </c>
      <c r="D15" s="88">
        <f>'ПР24 ОМ6'!G12</f>
        <v>16180900</v>
      </c>
      <c r="E15" s="88">
        <f>'ПР24 ОМ6'!G13</f>
        <v>16322800</v>
      </c>
      <c r="F15" s="88">
        <f>'ПР24 ОМ6'!G14</f>
        <v>16466200</v>
      </c>
      <c r="G15" s="89"/>
      <c r="H15" s="86"/>
      <c r="I15" s="86"/>
      <c r="J15" s="86"/>
      <c r="K15" s="86"/>
    </row>
    <row r="16" spans="1:11" ht="15">
      <c r="A16" s="147"/>
      <c r="B16" s="89" t="s">
        <v>392</v>
      </c>
      <c r="C16" s="88">
        <v>0</v>
      </c>
      <c r="D16" s="88">
        <v>0</v>
      </c>
      <c r="E16" s="88">
        <v>0</v>
      </c>
      <c r="F16" s="88">
        <v>0</v>
      </c>
      <c r="G16" s="89"/>
      <c r="H16" s="86"/>
      <c r="I16" s="86"/>
      <c r="J16" s="86"/>
      <c r="K16" s="86"/>
    </row>
    <row r="17" spans="1:11" ht="23.25" customHeight="1">
      <c r="A17" s="147"/>
      <c r="B17" s="89" t="s">
        <v>394</v>
      </c>
      <c r="C17" s="88">
        <f>D17+E17+F17</f>
        <v>61155047</v>
      </c>
      <c r="D17" s="88">
        <v>19837340</v>
      </c>
      <c r="E17" s="88">
        <v>20100207</v>
      </c>
      <c r="F17" s="88">
        <v>21217500</v>
      </c>
      <c r="G17" s="89"/>
      <c r="H17" s="86"/>
      <c r="I17" s="86"/>
      <c r="J17" s="86"/>
      <c r="K17" s="86"/>
    </row>
  </sheetData>
  <sheetProtection/>
  <mergeCells count="7">
    <mergeCell ref="A13:A17"/>
    <mergeCell ref="E1:F1"/>
    <mergeCell ref="A3:J3"/>
    <mergeCell ref="A5:A7"/>
    <mergeCell ref="B5:B7"/>
    <mergeCell ref="C5:K5"/>
    <mergeCell ref="A8:A12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66"/>
  <sheetViews>
    <sheetView zoomScalePageLayoutView="0" workbookViewId="0" topLeftCell="A23">
      <selection activeCell="D9" sqref="D9:I29"/>
    </sheetView>
  </sheetViews>
  <sheetFormatPr defaultColWidth="9.140625" defaultRowHeight="15"/>
  <cols>
    <col min="1" max="1" width="9.140625" style="50" customWidth="1"/>
    <col min="2" max="2" width="23.00390625" style="50" customWidth="1"/>
    <col min="3" max="4" width="9.140625" style="50" customWidth="1"/>
    <col min="5" max="6" width="13.140625" style="50" customWidth="1"/>
    <col min="7" max="7" width="13.00390625" style="50" customWidth="1"/>
    <col min="8" max="8" width="9.140625" style="50" customWidth="1"/>
    <col min="9" max="9" width="14.00390625" style="50" customWidth="1"/>
    <col min="10" max="10" width="14.421875" style="50" customWidth="1"/>
    <col min="11" max="11" width="16.57421875" style="50" customWidth="1"/>
    <col min="12" max="16384" width="9.140625" style="50" customWidth="1"/>
  </cols>
  <sheetData>
    <row r="1" spans="9:11" ht="15">
      <c r="I1" s="264" t="s">
        <v>302</v>
      </c>
      <c r="J1" s="264"/>
      <c r="K1" s="264"/>
    </row>
    <row r="2" ht="15.75">
      <c r="F2" s="57"/>
    </row>
    <row r="3" spans="1:11" ht="31.5" customHeight="1">
      <c r="A3" s="163" t="s">
        <v>303</v>
      </c>
      <c r="B3" s="163"/>
      <c r="C3" s="163"/>
      <c r="D3" s="163"/>
      <c r="E3" s="163"/>
      <c r="F3" s="163"/>
      <c r="G3" s="163"/>
      <c r="H3" s="163"/>
      <c r="I3" s="163"/>
      <c r="J3" s="163"/>
      <c r="K3" s="58"/>
    </row>
    <row r="4" spans="1:11" ht="15" hidden="1">
      <c r="A4" s="58"/>
      <c r="B4" s="58"/>
      <c r="C4" s="58"/>
      <c r="D4" s="58"/>
      <c r="E4" s="58"/>
      <c r="F4" s="74"/>
      <c r="G4" s="58"/>
      <c r="H4" s="58"/>
      <c r="I4" s="58"/>
      <c r="J4" s="58"/>
      <c r="K4" s="58"/>
    </row>
    <row r="5" spans="1:11" ht="15" hidden="1">
      <c r="A5" s="58"/>
      <c r="B5" s="58"/>
      <c r="C5" s="58"/>
      <c r="D5" s="58"/>
      <c r="E5" s="58"/>
      <c r="F5" s="74"/>
      <c r="G5" s="58"/>
      <c r="H5" s="58"/>
      <c r="I5" s="58"/>
      <c r="J5" s="58"/>
      <c r="K5" s="58"/>
    </row>
    <row r="6" spans="1:11" ht="15" hidden="1">
      <c r="A6" s="58"/>
      <c r="B6" s="58"/>
      <c r="C6" s="58"/>
      <c r="D6" s="58"/>
      <c r="E6" s="64">
        <f>E11-E20</f>
        <v>0</v>
      </c>
      <c r="F6" s="64"/>
      <c r="G6" s="64"/>
      <c r="H6" s="65"/>
      <c r="I6" s="65"/>
      <c r="J6" s="58"/>
      <c r="K6" s="58"/>
    </row>
    <row r="7" spans="1:11" ht="15" hidden="1">
      <c r="A7" s="58"/>
      <c r="B7" s="58"/>
      <c r="C7" s="58"/>
      <c r="D7" s="58"/>
      <c r="E7" s="58"/>
      <c r="F7" s="74"/>
      <c r="G7" s="58"/>
      <c r="H7" s="58"/>
      <c r="I7" s="58"/>
      <c r="J7" s="58"/>
      <c r="K7" s="58"/>
    </row>
    <row r="9" spans="1:11" ht="22.5" customHeight="1">
      <c r="A9" s="157" t="s">
        <v>389</v>
      </c>
      <c r="B9" s="149" t="s">
        <v>437</v>
      </c>
      <c r="C9" s="149" t="s">
        <v>403</v>
      </c>
      <c r="D9" s="149" t="s">
        <v>442</v>
      </c>
      <c r="E9" s="149"/>
      <c r="F9" s="149"/>
      <c r="G9" s="149"/>
      <c r="H9" s="149"/>
      <c r="I9" s="149"/>
      <c r="J9" s="150" t="s">
        <v>417</v>
      </c>
      <c r="K9" s="150" t="s">
        <v>398</v>
      </c>
    </row>
    <row r="10" spans="1:11" ht="36" customHeight="1">
      <c r="A10" s="157"/>
      <c r="B10" s="149"/>
      <c r="C10" s="149"/>
      <c r="D10" s="52" t="s">
        <v>390</v>
      </c>
      <c r="E10" s="52" t="s">
        <v>395</v>
      </c>
      <c r="F10" s="52" t="s">
        <v>393</v>
      </c>
      <c r="G10" s="52" t="s">
        <v>391</v>
      </c>
      <c r="H10" s="52" t="s">
        <v>392</v>
      </c>
      <c r="I10" s="52" t="s">
        <v>394</v>
      </c>
      <c r="J10" s="151"/>
      <c r="K10" s="162"/>
    </row>
    <row r="11" spans="1:11" ht="15">
      <c r="A11" s="157"/>
      <c r="B11" s="164" t="s">
        <v>18</v>
      </c>
      <c r="C11" s="149" t="s">
        <v>43</v>
      </c>
      <c r="D11" s="52" t="s">
        <v>395</v>
      </c>
      <c r="E11" s="53">
        <f>E12+E13+E14</f>
        <v>128112071</v>
      </c>
      <c r="F11" s="53">
        <f>F12+F13+F14</f>
        <v>17987124</v>
      </c>
      <c r="G11" s="53">
        <f>G12+G13+G14</f>
        <v>48969900</v>
      </c>
      <c r="H11" s="53">
        <v>0</v>
      </c>
      <c r="I11" s="53">
        <v>61155047</v>
      </c>
      <c r="J11" s="150"/>
      <c r="K11" s="150"/>
    </row>
    <row r="12" spans="1:11" ht="15">
      <c r="A12" s="157"/>
      <c r="B12" s="164"/>
      <c r="C12" s="149"/>
      <c r="D12" s="52">
        <v>2014</v>
      </c>
      <c r="E12" s="54">
        <f>F12+G12+I12</f>
        <v>41938334</v>
      </c>
      <c r="F12" s="54">
        <f aca="true" t="shared" si="0" ref="F12:G14">F21</f>
        <v>5920094</v>
      </c>
      <c r="G12" s="54">
        <f t="shared" si="0"/>
        <v>16180900</v>
      </c>
      <c r="H12" s="54">
        <v>0</v>
      </c>
      <c r="I12" s="54">
        <v>19837340</v>
      </c>
      <c r="J12" s="151"/>
      <c r="K12" s="151"/>
    </row>
    <row r="13" spans="1:11" ht="15">
      <c r="A13" s="157"/>
      <c r="B13" s="164"/>
      <c r="C13" s="149"/>
      <c r="D13" s="52">
        <v>2015</v>
      </c>
      <c r="E13" s="54">
        <f>F13+G13+I13</f>
        <v>42382504</v>
      </c>
      <c r="F13" s="54">
        <f t="shared" si="0"/>
        <v>5959497</v>
      </c>
      <c r="G13" s="54">
        <f t="shared" si="0"/>
        <v>16322800</v>
      </c>
      <c r="H13" s="54">
        <v>0</v>
      </c>
      <c r="I13" s="54">
        <v>20100207</v>
      </c>
      <c r="J13" s="151"/>
      <c r="K13" s="151"/>
    </row>
    <row r="14" spans="1:11" ht="15">
      <c r="A14" s="157"/>
      <c r="B14" s="164"/>
      <c r="C14" s="149"/>
      <c r="D14" s="52">
        <v>2016</v>
      </c>
      <c r="E14" s="54">
        <f>F14+G14+I14</f>
        <v>43791233</v>
      </c>
      <c r="F14" s="54">
        <f t="shared" si="0"/>
        <v>6107533</v>
      </c>
      <c r="G14" s="54">
        <f t="shared" si="0"/>
        <v>16466200</v>
      </c>
      <c r="H14" s="54">
        <v>0</v>
      </c>
      <c r="I14" s="54">
        <v>21217500</v>
      </c>
      <c r="J14" s="151"/>
      <c r="K14" s="151"/>
    </row>
    <row r="15" spans="1:11" ht="15" hidden="1">
      <c r="A15" s="157"/>
      <c r="B15" s="164"/>
      <c r="C15" s="149"/>
      <c r="D15" s="52">
        <v>2017</v>
      </c>
      <c r="E15" s="54"/>
      <c r="F15" s="54"/>
      <c r="G15" s="54"/>
      <c r="H15" s="54"/>
      <c r="I15" s="54"/>
      <c r="J15" s="151"/>
      <c r="K15" s="151"/>
    </row>
    <row r="16" spans="1:11" ht="15" hidden="1">
      <c r="A16" s="157"/>
      <c r="B16" s="164"/>
      <c r="C16" s="149"/>
      <c r="D16" s="52">
        <v>2018</v>
      </c>
      <c r="E16" s="54"/>
      <c r="F16" s="54"/>
      <c r="G16" s="54"/>
      <c r="H16" s="54"/>
      <c r="I16" s="54"/>
      <c r="J16" s="151"/>
      <c r="K16" s="151"/>
    </row>
    <row r="17" spans="1:11" ht="15" hidden="1">
      <c r="A17" s="157"/>
      <c r="B17" s="164"/>
      <c r="C17" s="149"/>
      <c r="D17" s="52">
        <v>2019</v>
      </c>
      <c r="E17" s="54"/>
      <c r="F17" s="54"/>
      <c r="G17" s="54"/>
      <c r="H17" s="54"/>
      <c r="I17" s="54"/>
      <c r="J17" s="151"/>
      <c r="K17" s="151"/>
    </row>
    <row r="18" spans="1:11" ht="15" hidden="1">
      <c r="A18" s="157"/>
      <c r="B18" s="164"/>
      <c r="C18" s="149"/>
      <c r="D18" s="52">
        <v>2020</v>
      </c>
      <c r="E18" s="54"/>
      <c r="F18" s="54"/>
      <c r="G18" s="54"/>
      <c r="H18" s="54"/>
      <c r="I18" s="54"/>
      <c r="J18" s="151"/>
      <c r="K18" s="151"/>
    </row>
    <row r="19" spans="1:11" ht="15" hidden="1">
      <c r="A19" s="157"/>
      <c r="B19" s="164"/>
      <c r="C19" s="149"/>
      <c r="D19" s="59" t="s">
        <v>402</v>
      </c>
      <c r="E19" s="54"/>
      <c r="F19" s="54"/>
      <c r="G19" s="54"/>
      <c r="H19" s="54"/>
      <c r="I19" s="54"/>
      <c r="J19" s="162"/>
      <c r="K19" s="162"/>
    </row>
    <row r="20" spans="1:11" ht="15">
      <c r="A20" s="157" t="s">
        <v>399</v>
      </c>
      <c r="B20" s="158" t="s">
        <v>269</v>
      </c>
      <c r="C20" s="149" t="s">
        <v>43</v>
      </c>
      <c r="D20" s="52" t="s">
        <v>395</v>
      </c>
      <c r="E20" s="53">
        <f>F20+G20+H20+I20</f>
        <v>128112071</v>
      </c>
      <c r="F20" s="53">
        <f>F21+F22+F23</f>
        <v>17987124</v>
      </c>
      <c r="G20" s="53">
        <f>G21+G22+G23</f>
        <v>48969900</v>
      </c>
      <c r="H20" s="53">
        <f>H21+H22+H23</f>
        <v>0</v>
      </c>
      <c r="I20" s="53">
        <f>I21+I22+I23</f>
        <v>61155047</v>
      </c>
      <c r="J20" s="150"/>
      <c r="K20" s="150"/>
    </row>
    <row r="21" spans="1:11" ht="15">
      <c r="A21" s="157"/>
      <c r="B21" s="158"/>
      <c r="C21" s="149"/>
      <c r="D21" s="52">
        <v>2014</v>
      </c>
      <c r="E21" s="54">
        <f aca="true" t="shared" si="1" ref="E21:E62">F21+G21+H21+I21</f>
        <v>41938334</v>
      </c>
      <c r="F21" s="54">
        <f>F30+F39+F48+F52+F56+F60</f>
        <v>5920094</v>
      </c>
      <c r="G21" s="54">
        <f aca="true" t="shared" si="2" ref="G21:I22">G30+G39+G48+G52+G56+G60</f>
        <v>16180900</v>
      </c>
      <c r="H21" s="54">
        <f t="shared" si="2"/>
        <v>0</v>
      </c>
      <c r="I21" s="54">
        <f t="shared" si="2"/>
        <v>19837340</v>
      </c>
      <c r="J21" s="151"/>
      <c r="K21" s="151"/>
    </row>
    <row r="22" spans="1:11" ht="15">
      <c r="A22" s="157"/>
      <c r="B22" s="158"/>
      <c r="C22" s="149"/>
      <c r="D22" s="52">
        <v>2015</v>
      </c>
      <c r="E22" s="54">
        <f t="shared" si="1"/>
        <v>42382504</v>
      </c>
      <c r="F22" s="54">
        <f>F31+F40+F49+F53+F57+F61</f>
        <v>5959497</v>
      </c>
      <c r="G22" s="54">
        <f t="shared" si="2"/>
        <v>16322800</v>
      </c>
      <c r="H22" s="54">
        <f t="shared" si="2"/>
        <v>0</v>
      </c>
      <c r="I22" s="54">
        <f t="shared" si="2"/>
        <v>20100207</v>
      </c>
      <c r="J22" s="151"/>
      <c r="K22" s="151"/>
    </row>
    <row r="23" spans="1:11" ht="15">
      <c r="A23" s="157"/>
      <c r="B23" s="158"/>
      <c r="C23" s="149"/>
      <c r="D23" s="52">
        <v>2016</v>
      </c>
      <c r="E23" s="54">
        <f t="shared" si="1"/>
        <v>43791233</v>
      </c>
      <c r="F23" s="54">
        <f>F32+F50+F54+F41+F58+F62</f>
        <v>6107533</v>
      </c>
      <c r="G23" s="54">
        <f>G32+G50+G54+G41+G58+G62</f>
        <v>16466200</v>
      </c>
      <c r="H23" s="54">
        <f>H32+H50+H54+H41+H58+H62</f>
        <v>0</v>
      </c>
      <c r="I23" s="54">
        <f>I32+I50+I54+I41+I58+I62</f>
        <v>21217500</v>
      </c>
      <c r="J23" s="151"/>
      <c r="K23" s="151"/>
    </row>
    <row r="24" spans="1:11" ht="15" hidden="1">
      <c r="A24" s="157"/>
      <c r="B24" s="158"/>
      <c r="C24" s="149"/>
      <c r="D24" s="52">
        <v>2017</v>
      </c>
      <c r="E24" s="54">
        <f t="shared" si="1"/>
        <v>0</v>
      </c>
      <c r="F24" s="54"/>
      <c r="G24" s="54"/>
      <c r="H24" s="54"/>
      <c r="I24" s="54"/>
      <c r="J24" s="151"/>
      <c r="K24" s="151"/>
    </row>
    <row r="25" spans="1:11" ht="15" hidden="1">
      <c r="A25" s="157"/>
      <c r="B25" s="158"/>
      <c r="C25" s="149"/>
      <c r="D25" s="52">
        <v>2018</v>
      </c>
      <c r="E25" s="54">
        <f t="shared" si="1"/>
        <v>0</v>
      </c>
      <c r="F25" s="54"/>
      <c r="G25" s="54"/>
      <c r="H25" s="54"/>
      <c r="I25" s="54"/>
      <c r="J25" s="151"/>
      <c r="K25" s="151"/>
    </row>
    <row r="26" spans="1:11" ht="15" hidden="1">
      <c r="A26" s="157"/>
      <c r="B26" s="158"/>
      <c r="C26" s="149"/>
      <c r="D26" s="52">
        <v>2019</v>
      </c>
      <c r="E26" s="54">
        <f t="shared" si="1"/>
        <v>0</v>
      </c>
      <c r="F26" s="54"/>
      <c r="G26" s="54"/>
      <c r="H26" s="54"/>
      <c r="I26" s="54"/>
      <c r="J26" s="151"/>
      <c r="K26" s="151"/>
    </row>
    <row r="27" spans="1:11" ht="15" hidden="1">
      <c r="A27" s="157"/>
      <c r="B27" s="158"/>
      <c r="C27" s="149"/>
      <c r="D27" s="52">
        <v>2020</v>
      </c>
      <c r="E27" s="54">
        <f t="shared" si="1"/>
        <v>0</v>
      </c>
      <c r="F27" s="54"/>
      <c r="G27" s="54"/>
      <c r="H27" s="54"/>
      <c r="I27" s="54"/>
      <c r="J27" s="151"/>
      <c r="K27" s="151"/>
    </row>
    <row r="28" spans="1:11" ht="15" hidden="1">
      <c r="A28" s="157"/>
      <c r="B28" s="158"/>
      <c r="C28" s="149"/>
      <c r="D28" s="75" t="s">
        <v>402</v>
      </c>
      <c r="E28" s="54">
        <f t="shared" si="1"/>
        <v>0</v>
      </c>
      <c r="F28" s="54"/>
      <c r="G28" s="54"/>
      <c r="H28" s="54"/>
      <c r="I28" s="54"/>
      <c r="J28" s="162"/>
      <c r="K28" s="162"/>
    </row>
    <row r="29" spans="1:11" ht="15">
      <c r="A29" s="157" t="s">
        <v>396</v>
      </c>
      <c r="B29" s="158" t="s">
        <v>304</v>
      </c>
      <c r="C29" s="149" t="s">
        <v>43</v>
      </c>
      <c r="D29" s="52" t="s">
        <v>395</v>
      </c>
      <c r="E29" s="53">
        <f t="shared" si="1"/>
        <v>20624751</v>
      </c>
      <c r="F29" s="53">
        <f>F30+F31+F32</f>
        <v>17887651</v>
      </c>
      <c r="G29" s="53">
        <f>G30+G31+G32</f>
        <v>2737100</v>
      </c>
      <c r="H29" s="53">
        <f>H30+H31+H32</f>
        <v>0</v>
      </c>
      <c r="I29" s="53">
        <f>I30+I31+I32</f>
        <v>0</v>
      </c>
      <c r="J29" s="150" t="s">
        <v>306</v>
      </c>
      <c r="K29" s="150" t="s">
        <v>262</v>
      </c>
    </row>
    <row r="30" spans="1:11" ht="15">
      <c r="A30" s="157"/>
      <c r="B30" s="158"/>
      <c r="C30" s="149"/>
      <c r="D30" s="52">
        <v>2014</v>
      </c>
      <c r="E30" s="54">
        <f t="shared" si="1"/>
        <v>6791464</v>
      </c>
      <c r="F30" s="54">
        <v>5886264</v>
      </c>
      <c r="G30" s="54">
        <v>905200</v>
      </c>
      <c r="H30" s="54"/>
      <c r="I30" s="54"/>
      <c r="J30" s="151"/>
      <c r="K30" s="151"/>
    </row>
    <row r="31" spans="1:11" ht="15">
      <c r="A31" s="157"/>
      <c r="B31" s="158"/>
      <c r="C31" s="149"/>
      <c r="D31" s="52">
        <v>2015</v>
      </c>
      <c r="E31" s="54">
        <f t="shared" si="1"/>
        <v>6843444</v>
      </c>
      <c r="F31" s="54">
        <v>5926344</v>
      </c>
      <c r="G31" s="54">
        <v>917100</v>
      </c>
      <c r="H31" s="54"/>
      <c r="I31" s="54"/>
      <c r="J31" s="151"/>
      <c r="K31" s="151"/>
    </row>
    <row r="32" spans="1:11" ht="15">
      <c r="A32" s="157"/>
      <c r="B32" s="158"/>
      <c r="C32" s="149"/>
      <c r="D32" s="52">
        <v>2016</v>
      </c>
      <c r="E32" s="54">
        <f t="shared" si="1"/>
        <v>6989843</v>
      </c>
      <c r="F32" s="54">
        <v>6075043</v>
      </c>
      <c r="G32" s="54">
        <v>914800</v>
      </c>
      <c r="H32" s="54"/>
      <c r="I32" s="54"/>
      <c r="J32" s="151"/>
      <c r="K32" s="151"/>
    </row>
    <row r="33" spans="1:11" ht="15" hidden="1">
      <c r="A33" s="157"/>
      <c r="B33" s="158"/>
      <c r="C33" s="149"/>
      <c r="D33" s="52">
        <v>2017</v>
      </c>
      <c r="E33" s="54">
        <f t="shared" si="1"/>
        <v>0</v>
      </c>
      <c r="F33" s="54"/>
      <c r="G33" s="54"/>
      <c r="H33" s="54"/>
      <c r="I33" s="54"/>
      <c r="J33" s="151"/>
      <c r="K33" s="151"/>
    </row>
    <row r="34" spans="1:11" ht="15" hidden="1">
      <c r="A34" s="157"/>
      <c r="B34" s="158"/>
      <c r="C34" s="149"/>
      <c r="D34" s="52">
        <v>2018</v>
      </c>
      <c r="E34" s="54">
        <f t="shared" si="1"/>
        <v>0</v>
      </c>
      <c r="F34" s="54"/>
      <c r="G34" s="54"/>
      <c r="H34" s="54"/>
      <c r="I34" s="54"/>
      <c r="J34" s="151"/>
      <c r="K34" s="151"/>
    </row>
    <row r="35" spans="1:11" ht="15" hidden="1">
      <c r="A35" s="157"/>
      <c r="B35" s="158"/>
      <c r="C35" s="149"/>
      <c r="D35" s="52">
        <v>2019</v>
      </c>
      <c r="E35" s="54">
        <f t="shared" si="1"/>
        <v>0</v>
      </c>
      <c r="F35" s="54"/>
      <c r="G35" s="54"/>
      <c r="H35" s="54"/>
      <c r="I35" s="54"/>
      <c r="J35" s="151"/>
      <c r="K35" s="151"/>
    </row>
    <row r="36" spans="1:11" ht="15" hidden="1">
      <c r="A36" s="157"/>
      <c r="B36" s="158"/>
      <c r="C36" s="149"/>
      <c r="D36" s="52">
        <v>2020</v>
      </c>
      <c r="E36" s="54">
        <f t="shared" si="1"/>
        <v>0</v>
      </c>
      <c r="F36" s="54"/>
      <c r="G36" s="54"/>
      <c r="H36" s="54"/>
      <c r="I36" s="54"/>
      <c r="J36" s="151"/>
      <c r="K36" s="151"/>
    </row>
    <row r="37" spans="1:11" ht="15" hidden="1">
      <c r="A37" s="157"/>
      <c r="B37" s="158"/>
      <c r="C37" s="149"/>
      <c r="D37" s="75" t="s">
        <v>402</v>
      </c>
      <c r="E37" s="54">
        <f t="shared" si="1"/>
        <v>0</v>
      </c>
      <c r="F37" s="54"/>
      <c r="G37" s="54"/>
      <c r="H37" s="54"/>
      <c r="I37" s="54"/>
      <c r="J37" s="162"/>
      <c r="K37" s="162"/>
    </row>
    <row r="38" spans="1:11" ht="15" customHeight="1">
      <c r="A38" s="157" t="s">
        <v>397</v>
      </c>
      <c r="B38" s="158" t="s">
        <v>305</v>
      </c>
      <c r="C38" s="157" t="s">
        <v>43</v>
      </c>
      <c r="D38" s="52" t="s">
        <v>395</v>
      </c>
      <c r="E38" s="53">
        <f t="shared" si="1"/>
        <v>46232800</v>
      </c>
      <c r="F38" s="53">
        <f>F39+F40+F41</f>
        <v>0</v>
      </c>
      <c r="G38" s="53">
        <f>G39+G40+G41</f>
        <v>46232800</v>
      </c>
      <c r="H38" s="53">
        <f>H39+H40+H41</f>
        <v>0</v>
      </c>
      <c r="I38" s="53">
        <f>I39+I40+I41</f>
        <v>0</v>
      </c>
      <c r="J38" s="150" t="s">
        <v>307</v>
      </c>
      <c r="K38" s="150" t="s">
        <v>262</v>
      </c>
    </row>
    <row r="39" spans="1:11" ht="15">
      <c r="A39" s="157"/>
      <c r="B39" s="158"/>
      <c r="C39" s="157"/>
      <c r="D39" s="52">
        <v>2014</v>
      </c>
      <c r="E39" s="54">
        <f t="shared" si="1"/>
        <v>15275700</v>
      </c>
      <c r="F39" s="54"/>
      <c r="G39" s="54">
        <v>15275700</v>
      </c>
      <c r="H39" s="54"/>
      <c r="I39" s="54"/>
      <c r="J39" s="151"/>
      <c r="K39" s="151"/>
    </row>
    <row r="40" spans="1:11" ht="15">
      <c r="A40" s="157"/>
      <c r="B40" s="158"/>
      <c r="C40" s="157"/>
      <c r="D40" s="52">
        <v>2015</v>
      </c>
      <c r="E40" s="54">
        <f t="shared" si="1"/>
        <v>15405700</v>
      </c>
      <c r="F40" s="54"/>
      <c r="G40" s="54">
        <v>15405700</v>
      </c>
      <c r="H40" s="54"/>
      <c r="I40" s="54"/>
      <c r="J40" s="151"/>
      <c r="K40" s="151"/>
    </row>
    <row r="41" spans="1:11" ht="15">
      <c r="A41" s="157"/>
      <c r="B41" s="158"/>
      <c r="C41" s="157"/>
      <c r="D41" s="52">
        <v>2016</v>
      </c>
      <c r="E41" s="54">
        <f t="shared" si="1"/>
        <v>15551400</v>
      </c>
      <c r="F41" s="54"/>
      <c r="G41" s="54">
        <v>15551400</v>
      </c>
      <c r="H41" s="54"/>
      <c r="I41" s="54"/>
      <c r="J41" s="151"/>
      <c r="K41" s="151"/>
    </row>
    <row r="42" spans="1:11" ht="15" customHeight="1" hidden="1">
      <c r="A42" s="157"/>
      <c r="B42" s="158"/>
      <c r="C42" s="157"/>
      <c r="D42" s="52">
        <v>2017</v>
      </c>
      <c r="E42" s="54">
        <f t="shared" si="1"/>
        <v>0</v>
      </c>
      <c r="F42" s="54"/>
      <c r="G42" s="54"/>
      <c r="H42" s="54"/>
      <c r="I42" s="54"/>
      <c r="J42" s="151"/>
      <c r="K42" s="151"/>
    </row>
    <row r="43" spans="1:11" ht="15" customHeight="1" hidden="1">
      <c r="A43" s="157"/>
      <c r="B43" s="158"/>
      <c r="C43" s="157"/>
      <c r="D43" s="52">
        <v>2018</v>
      </c>
      <c r="E43" s="54">
        <f t="shared" si="1"/>
        <v>0</v>
      </c>
      <c r="F43" s="54"/>
      <c r="G43" s="54"/>
      <c r="H43" s="54"/>
      <c r="I43" s="54"/>
      <c r="J43" s="151"/>
      <c r="K43" s="151"/>
    </row>
    <row r="44" spans="1:11" ht="15" customHeight="1" hidden="1">
      <c r="A44" s="157"/>
      <c r="B44" s="158"/>
      <c r="C44" s="157"/>
      <c r="D44" s="52">
        <v>2019</v>
      </c>
      <c r="E44" s="54">
        <f t="shared" si="1"/>
        <v>0</v>
      </c>
      <c r="F44" s="54"/>
      <c r="G44" s="54"/>
      <c r="H44" s="54"/>
      <c r="I44" s="54"/>
      <c r="J44" s="151"/>
      <c r="K44" s="151"/>
    </row>
    <row r="45" spans="1:11" ht="15" customHeight="1" hidden="1">
      <c r="A45" s="157"/>
      <c r="B45" s="158"/>
      <c r="C45" s="157"/>
      <c r="D45" s="52">
        <v>2020</v>
      </c>
      <c r="E45" s="54">
        <f t="shared" si="1"/>
        <v>0</v>
      </c>
      <c r="F45" s="54"/>
      <c r="G45" s="54"/>
      <c r="H45" s="54"/>
      <c r="I45" s="54"/>
      <c r="J45" s="151"/>
      <c r="K45" s="151"/>
    </row>
    <row r="46" spans="1:11" ht="15" customHeight="1" hidden="1">
      <c r="A46" s="157"/>
      <c r="B46" s="158"/>
      <c r="C46" s="157"/>
      <c r="D46" s="75" t="s">
        <v>402</v>
      </c>
      <c r="E46" s="54">
        <f t="shared" si="1"/>
        <v>0</v>
      </c>
      <c r="F46" s="54"/>
      <c r="G46" s="54"/>
      <c r="H46" s="54"/>
      <c r="I46" s="54"/>
      <c r="J46" s="162"/>
      <c r="K46" s="162"/>
    </row>
    <row r="47" spans="1:11" ht="15" customHeight="1" hidden="1">
      <c r="A47" s="256" t="s">
        <v>424</v>
      </c>
      <c r="B47" s="259" t="s">
        <v>263</v>
      </c>
      <c r="C47" s="256" t="s">
        <v>43</v>
      </c>
      <c r="D47" s="102" t="s">
        <v>395</v>
      </c>
      <c r="E47" s="99">
        <f t="shared" si="1"/>
        <v>0</v>
      </c>
      <c r="F47" s="99">
        <f>F48+F49+F50</f>
        <v>0</v>
      </c>
      <c r="G47" s="99">
        <f>G48+G49+G50</f>
        <v>0</v>
      </c>
      <c r="H47" s="99">
        <f>H48+H49+H50</f>
        <v>0</v>
      </c>
      <c r="I47" s="99">
        <f>I48+I49+I50</f>
        <v>0</v>
      </c>
      <c r="J47" s="262" t="s">
        <v>309</v>
      </c>
      <c r="K47" s="262" t="s">
        <v>262</v>
      </c>
    </row>
    <row r="48" spans="1:11" ht="15" hidden="1">
      <c r="A48" s="257"/>
      <c r="B48" s="260"/>
      <c r="C48" s="257"/>
      <c r="D48" s="102">
        <v>2014</v>
      </c>
      <c r="E48" s="98">
        <f t="shared" si="1"/>
        <v>0</v>
      </c>
      <c r="F48" s="98">
        <f>2150680-2150680</f>
        <v>0</v>
      </c>
      <c r="G48" s="98">
        <f>3072400-3072400</f>
        <v>0</v>
      </c>
      <c r="H48" s="98"/>
      <c r="I48" s="98"/>
      <c r="J48" s="263"/>
      <c r="K48" s="262"/>
    </row>
    <row r="49" spans="1:11" ht="15" hidden="1">
      <c r="A49" s="257"/>
      <c r="B49" s="260"/>
      <c r="C49" s="257"/>
      <c r="D49" s="102">
        <v>2015</v>
      </c>
      <c r="E49" s="98">
        <f t="shared" si="1"/>
        <v>0</v>
      </c>
      <c r="F49" s="98">
        <f>2250080-2250080</f>
        <v>0</v>
      </c>
      <c r="G49" s="98">
        <f>3214400-3214400</f>
        <v>0</v>
      </c>
      <c r="H49" s="98"/>
      <c r="I49" s="98"/>
      <c r="J49" s="263"/>
      <c r="K49" s="262"/>
    </row>
    <row r="50" spans="1:11" ht="26.25" customHeight="1" hidden="1">
      <c r="A50" s="258"/>
      <c r="B50" s="261"/>
      <c r="C50" s="258"/>
      <c r="D50" s="102">
        <v>2016</v>
      </c>
      <c r="E50" s="98">
        <f t="shared" si="1"/>
        <v>0</v>
      </c>
      <c r="F50" s="98">
        <f>2250080-2250080</f>
        <v>0</v>
      </c>
      <c r="G50" s="98">
        <f>3214400-3214400</f>
        <v>0</v>
      </c>
      <c r="H50" s="98"/>
      <c r="I50" s="98"/>
      <c r="J50" s="263"/>
      <c r="K50" s="262"/>
    </row>
    <row r="51" spans="1:11" ht="15" customHeight="1">
      <c r="A51" s="154" t="s">
        <v>424</v>
      </c>
      <c r="B51" s="159" t="s">
        <v>124</v>
      </c>
      <c r="C51" s="154" t="s">
        <v>43</v>
      </c>
      <c r="D51" s="52" t="s">
        <v>395</v>
      </c>
      <c r="E51" s="53">
        <f t="shared" si="1"/>
        <v>61155047</v>
      </c>
      <c r="F51" s="53">
        <f>F52+F53+F54</f>
        <v>0</v>
      </c>
      <c r="G51" s="53">
        <f>G52+G53+G54</f>
        <v>0</v>
      </c>
      <c r="H51" s="53">
        <f>H52+H53+H54</f>
        <v>0</v>
      </c>
      <c r="I51" s="53">
        <f>I52+I53+I54</f>
        <v>61155047</v>
      </c>
      <c r="J51" s="152" t="s">
        <v>308</v>
      </c>
      <c r="K51" s="149" t="s">
        <v>262</v>
      </c>
    </row>
    <row r="52" spans="1:11" ht="15">
      <c r="A52" s="155"/>
      <c r="B52" s="160"/>
      <c r="C52" s="155"/>
      <c r="D52" s="52">
        <v>2014</v>
      </c>
      <c r="E52" s="54">
        <f t="shared" si="1"/>
        <v>19837340</v>
      </c>
      <c r="F52" s="54"/>
      <c r="G52" s="54"/>
      <c r="H52" s="54"/>
      <c r="I52" s="54">
        <v>19837340</v>
      </c>
      <c r="J52" s="153"/>
      <c r="K52" s="149"/>
    </row>
    <row r="53" spans="1:11" ht="15">
      <c r="A53" s="155"/>
      <c r="B53" s="160"/>
      <c r="C53" s="155"/>
      <c r="D53" s="52">
        <v>2015</v>
      </c>
      <c r="E53" s="54">
        <f t="shared" si="1"/>
        <v>20100207</v>
      </c>
      <c r="F53" s="54"/>
      <c r="G53" s="54"/>
      <c r="H53" s="54"/>
      <c r="I53" s="54">
        <v>20100207</v>
      </c>
      <c r="J53" s="153"/>
      <c r="K53" s="149"/>
    </row>
    <row r="54" spans="1:11" ht="27" customHeight="1">
      <c r="A54" s="156"/>
      <c r="B54" s="161"/>
      <c r="C54" s="156"/>
      <c r="D54" s="52">
        <v>2016</v>
      </c>
      <c r="E54" s="54">
        <f t="shared" si="1"/>
        <v>21217500</v>
      </c>
      <c r="F54" s="54"/>
      <c r="G54" s="54"/>
      <c r="H54" s="54"/>
      <c r="I54" s="54">
        <v>21217500</v>
      </c>
      <c r="J54" s="153"/>
      <c r="K54" s="149"/>
    </row>
    <row r="55" spans="1:11" ht="15" customHeight="1">
      <c r="A55" s="154" t="s">
        <v>4</v>
      </c>
      <c r="B55" s="159" t="s">
        <v>264</v>
      </c>
      <c r="C55" s="154" t="s">
        <v>43</v>
      </c>
      <c r="D55" s="52" t="s">
        <v>395</v>
      </c>
      <c r="E55" s="53">
        <f t="shared" si="1"/>
        <v>99473</v>
      </c>
      <c r="F55" s="53">
        <f>F56+F57+F58</f>
        <v>99473</v>
      </c>
      <c r="G55" s="53">
        <f>G56+G57+G58</f>
        <v>0</v>
      </c>
      <c r="H55" s="53">
        <f>H56+H57+H58</f>
        <v>0</v>
      </c>
      <c r="I55" s="53">
        <f>I56+I57+I58</f>
        <v>0</v>
      </c>
      <c r="J55" s="149" t="s">
        <v>265</v>
      </c>
      <c r="K55" s="149" t="s">
        <v>266</v>
      </c>
    </row>
    <row r="56" spans="1:11" ht="15">
      <c r="A56" s="155"/>
      <c r="B56" s="160"/>
      <c r="C56" s="155"/>
      <c r="D56" s="52">
        <v>2014</v>
      </c>
      <c r="E56" s="54">
        <f t="shared" si="1"/>
        <v>33830</v>
      </c>
      <c r="F56" s="54">
        <v>33830</v>
      </c>
      <c r="G56" s="54"/>
      <c r="H56" s="54"/>
      <c r="I56" s="54"/>
      <c r="J56" s="165"/>
      <c r="K56" s="149"/>
    </row>
    <row r="57" spans="1:11" ht="15">
      <c r="A57" s="155"/>
      <c r="B57" s="160"/>
      <c r="C57" s="155"/>
      <c r="D57" s="52">
        <v>2015</v>
      </c>
      <c r="E57" s="54">
        <f t="shared" si="1"/>
        <v>33153</v>
      </c>
      <c r="F57" s="54">
        <v>33153</v>
      </c>
      <c r="G57" s="54"/>
      <c r="H57" s="54"/>
      <c r="I57" s="54"/>
      <c r="J57" s="165"/>
      <c r="K57" s="149"/>
    </row>
    <row r="58" spans="1:11" ht="15">
      <c r="A58" s="156"/>
      <c r="B58" s="161"/>
      <c r="C58" s="156"/>
      <c r="D58" s="52">
        <v>2016</v>
      </c>
      <c r="E58" s="54">
        <f t="shared" si="1"/>
        <v>32490</v>
      </c>
      <c r="F58" s="54">
        <v>32490</v>
      </c>
      <c r="G58" s="54"/>
      <c r="H58" s="54"/>
      <c r="I58" s="54"/>
      <c r="J58" s="165"/>
      <c r="K58" s="149"/>
    </row>
    <row r="59" spans="1:11" ht="20.25" customHeight="1" hidden="1">
      <c r="A59" s="154"/>
      <c r="B59" s="159"/>
      <c r="C59" s="154" t="s">
        <v>43</v>
      </c>
      <c r="D59" s="52" t="s">
        <v>395</v>
      </c>
      <c r="E59" s="53">
        <f t="shared" si="1"/>
        <v>0</v>
      </c>
      <c r="F59" s="53">
        <f>F60+F61+F62</f>
        <v>0</v>
      </c>
      <c r="G59" s="53">
        <f>G60+G61+G62</f>
        <v>0</v>
      </c>
      <c r="H59" s="53">
        <f>H60+H61+H62</f>
        <v>0</v>
      </c>
      <c r="I59" s="53">
        <f>I60+I61+I62</f>
        <v>0</v>
      </c>
      <c r="J59" s="149"/>
      <c r="K59" s="149"/>
    </row>
    <row r="60" spans="1:11" ht="15" hidden="1">
      <c r="A60" s="155"/>
      <c r="B60" s="160"/>
      <c r="C60" s="155"/>
      <c r="D60" s="52">
        <v>2014</v>
      </c>
      <c r="E60" s="54">
        <f t="shared" si="1"/>
        <v>0</v>
      </c>
      <c r="F60" s="54"/>
      <c r="G60" s="54"/>
      <c r="H60" s="54"/>
      <c r="I60" s="54"/>
      <c r="J60" s="165"/>
      <c r="K60" s="149"/>
    </row>
    <row r="61" spans="1:11" ht="15" hidden="1">
      <c r="A61" s="155"/>
      <c r="B61" s="160"/>
      <c r="C61" s="155"/>
      <c r="D61" s="52">
        <v>2015</v>
      </c>
      <c r="E61" s="54">
        <f t="shared" si="1"/>
        <v>0</v>
      </c>
      <c r="F61" s="54"/>
      <c r="G61" s="54"/>
      <c r="H61" s="54"/>
      <c r="I61" s="54"/>
      <c r="J61" s="165"/>
      <c r="K61" s="149"/>
    </row>
    <row r="62" spans="1:11" ht="15" hidden="1">
      <c r="A62" s="156"/>
      <c r="B62" s="161"/>
      <c r="C62" s="156"/>
      <c r="D62" s="52">
        <v>2016</v>
      </c>
      <c r="E62" s="54">
        <f t="shared" si="1"/>
        <v>0</v>
      </c>
      <c r="F62" s="54"/>
      <c r="G62" s="54"/>
      <c r="H62" s="54"/>
      <c r="I62" s="54"/>
      <c r="J62" s="165"/>
      <c r="K62" s="149"/>
    </row>
    <row r="64" ht="15">
      <c r="F64" s="66"/>
    </row>
    <row r="65" ht="15">
      <c r="F65" s="66"/>
    </row>
    <row r="66" ht="15">
      <c r="F66" s="66"/>
    </row>
  </sheetData>
  <sheetProtection/>
  <mergeCells count="48">
    <mergeCell ref="K11:K19"/>
    <mergeCell ref="I1:K1"/>
    <mergeCell ref="A3:J3"/>
    <mergeCell ref="A9:A10"/>
    <mergeCell ref="B9:B10"/>
    <mergeCell ref="C9:C10"/>
    <mergeCell ref="D9:I9"/>
    <mergeCell ref="J9:J10"/>
    <mergeCell ref="A29:A37"/>
    <mergeCell ref="B29:B37"/>
    <mergeCell ref="C29:C37"/>
    <mergeCell ref="J29:J37"/>
    <mergeCell ref="K29:K37"/>
    <mergeCell ref="K9:K10"/>
    <mergeCell ref="A11:A19"/>
    <mergeCell ref="B11:B19"/>
    <mergeCell ref="C11:C19"/>
    <mergeCell ref="J11:J19"/>
    <mergeCell ref="A47:A50"/>
    <mergeCell ref="B47:B50"/>
    <mergeCell ref="C47:C50"/>
    <mergeCell ref="J47:J50"/>
    <mergeCell ref="K47:K50"/>
    <mergeCell ref="A20:A28"/>
    <mergeCell ref="B20:B28"/>
    <mergeCell ref="C20:C28"/>
    <mergeCell ref="J20:J28"/>
    <mergeCell ref="K20:K28"/>
    <mergeCell ref="A55:A58"/>
    <mergeCell ref="B55:B58"/>
    <mergeCell ref="C55:C58"/>
    <mergeCell ref="J55:J58"/>
    <mergeCell ref="K55:K58"/>
    <mergeCell ref="A38:A46"/>
    <mergeCell ref="B38:B46"/>
    <mergeCell ref="C38:C46"/>
    <mergeCell ref="J38:J46"/>
    <mergeCell ref="K38:K46"/>
    <mergeCell ref="A59:A62"/>
    <mergeCell ref="B59:B62"/>
    <mergeCell ref="C59:C62"/>
    <mergeCell ref="J59:J62"/>
    <mergeCell ref="K59:K62"/>
    <mergeCell ref="A51:A54"/>
    <mergeCell ref="B51:B54"/>
    <mergeCell ref="C51:C54"/>
    <mergeCell ref="J51:J54"/>
    <mergeCell ref="K51:K54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7"/>
  <sheetViews>
    <sheetView tabSelected="1" zoomScalePageLayoutView="0" workbookViewId="0" topLeftCell="A4">
      <selection activeCell="A12" sqref="A12:J12"/>
    </sheetView>
  </sheetViews>
  <sheetFormatPr defaultColWidth="9.140625" defaultRowHeight="15"/>
  <cols>
    <col min="1" max="1" width="9.140625" style="50" customWidth="1"/>
    <col min="2" max="2" width="28.421875" style="50" customWidth="1"/>
    <col min="3" max="3" width="15.57421875" style="50" customWidth="1"/>
    <col min="4" max="6" width="9.140625" style="50" customWidth="1"/>
    <col min="7" max="7" width="18.140625" style="50" customWidth="1"/>
    <col min="8" max="8" width="14.28125" style="50" customWidth="1"/>
    <col min="9" max="9" width="14.00390625" style="50" customWidth="1"/>
    <col min="10" max="10" width="18.28125" style="50" customWidth="1"/>
    <col min="11" max="16384" width="9.140625" style="50" customWidth="1"/>
  </cols>
  <sheetData>
    <row r="1" spans="1:10" ht="15.75">
      <c r="A1" s="56"/>
      <c r="B1" s="77"/>
      <c r="C1" s="77"/>
      <c r="D1" s="77"/>
      <c r="E1" s="77"/>
      <c r="F1" s="77"/>
      <c r="G1" s="265" t="s">
        <v>310</v>
      </c>
      <c r="H1" s="265"/>
      <c r="I1" s="265"/>
      <c r="J1" s="265"/>
    </row>
    <row r="2" spans="1:10" ht="15.75">
      <c r="A2" s="56"/>
      <c r="B2" s="77"/>
      <c r="C2" s="77"/>
      <c r="D2" s="77"/>
      <c r="E2" s="77"/>
      <c r="F2" s="57"/>
      <c r="G2" s="77"/>
      <c r="H2" s="77"/>
      <c r="I2" s="77"/>
      <c r="J2" s="56"/>
    </row>
    <row r="3" spans="1:10" ht="36" customHeight="1">
      <c r="A3" s="56"/>
      <c r="B3" s="231" t="s">
        <v>439</v>
      </c>
      <c r="C3" s="231"/>
      <c r="D3" s="231"/>
      <c r="E3" s="231"/>
      <c r="F3" s="231"/>
      <c r="G3" s="231"/>
      <c r="H3" s="231"/>
      <c r="I3" s="231"/>
      <c r="J3" s="56"/>
    </row>
    <row r="4" spans="1:10" ht="15.75">
      <c r="A4" s="56"/>
      <c r="B4" s="77"/>
      <c r="C4" s="77"/>
      <c r="D4" s="77"/>
      <c r="E4" s="77"/>
      <c r="F4" s="77"/>
      <c r="G4" s="77"/>
      <c r="H4" s="77"/>
      <c r="I4" s="77"/>
      <c r="J4" s="56"/>
    </row>
    <row r="5" spans="1:10" ht="15">
      <c r="A5" s="171" t="s">
        <v>410</v>
      </c>
      <c r="B5" s="171" t="s">
        <v>433</v>
      </c>
      <c r="C5" s="171" t="s">
        <v>428</v>
      </c>
      <c r="D5" s="169" t="s">
        <v>426</v>
      </c>
      <c r="E5" s="169"/>
      <c r="F5" s="169"/>
      <c r="G5" s="169" t="s">
        <v>443</v>
      </c>
      <c r="H5" s="169"/>
      <c r="I5" s="169"/>
      <c r="J5" s="169" t="s">
        <v>405</v>
      </c>
    </row>
    <row r="6" spans="1:10" ht="15">
      <c r="A6" s="172"/>
      <c r="B6" s="172"/>
      <c r="C6" s="172"/>
      <c r="D6" s="78" t="s">
        <v>385</v>
      </c>
      <c r="E6" s="78" t="s">
        <v>386</v>
      </c>
      <c r="F6" s="78" t="s">
        <v>387</v>
      </c>
      <c r="G6" s="78" t="s">
        <v>385</v>
      </c>
      <c r="H6" s="78" t="s">
        <v>386</v>
      </c>
      <c r="I6" s="78" t="s">
        <v>387</v>
      </c>
      <c r="J6" s="169"/>
    </row>
    <row r="7" spans="1:10" ht="21" customHeight="1">
      <c r="A7" s="69"/>
      <c r="B7" s="173" t="s">
        <v>18</v>
      </c>
      <c r="C7" s="174"/>
      <c r="D7" s="174"/>
      <c r="E7" s="174"/>
      <c r="F7" s="174"/>
      <c r="G7" s="174"/>
      <c r="H7" s="174"/>
      <c r="I7" s="174"/>
      <c r="J7" s="175"/>
    </row>
    <row r="8" spans="1:10" ht="35.25" customHeight="1">
      <c r="A8" s="69" t="s">
        <v>399</v>
      </c>
      <c r="B8" s="173" t="s">
        <v>311</v>
      </c>
      <c r="C8" s="174"/>
      <c r="D8" s="174"/>
      <c r="E8" s="174"/>
      <c r="F8" s="174"/>
      <c r="G8" s="174"/>
      <c r="H8" s="174"/>
      <c r="I8" s="174"/>
      <c r="J8" s="175"/>
    </row>
    <row r="9" spans="1:10" ht="80.25" customHeight="1">
      <c r="A9" s="79" t="s">
        <v>396</v>
      </c>
      <c r="B9" s="72" t="s">
        <v>312</v>
      </c>
      <c r="C9" s="72" t="s">
        <v>48</v>
      </c>
      <c r="D9" s="72">
        <v>2101</v>
      </c>
      <c r="E9" s="72">
        <v>2137</v>
      </c>
      <c r="F9" s="72">
        <v>2140</v>
      </c>
      <c r="G9" s="38">
        <v>6791464</v>
      </c>
      <c r="H9" s="38">
        <v>6843444</v>
      </c>
      <c r="I9" s="38">
        <v>6989843</v>
      </c>
      <c r="J9" s="90"/>
    </row>
    <row r="10" spans="1:10" ht="37.5" customHeight="1">
      <c r="A10" s="69" t="s">
        <v>400</v>
      </c>
      <c r="B10" s="173" t="s">
        <v>313</v>
      </c>
      <c r="C10" s="174"/>
      <c r="D10" s="174"/>
      <c r="E10" s="174"/>
      <c r="F10" s="174"/>
      <c r="G10" s="174"/>
      <c r="H10" s="174"/>
      <c r="I10" s="174"/>
      <c r="J10" s="175"/>
    </row>
    <row r="11" spans="1:10" ht="74.25" customHeight="1">
      <c r="A11" s="69" t="s">
        <v>401</v>
      </c>
      <c r="B11" s="72" t="s">
        <v>314</v>
      </c>
      <c r="C11" s="72" t="s">
        <v>48</v>
      </c>
      <c r="D11" s="72">
        <v>1002</v>
      </c>
      <c r="E11" s="72">
        <v>1011</v>
      </c>
      <c r="F11" s="72">
        <v>1021</v>
      </c>
      <c r="G11" s="38">
        <v>15275700</v>
      </c>
      <c r="H11" s="38">
        <v>15405700</v>
      </c>
      <c r="I11" s="38">
        <v>15551400</v>
      </c>
      <c r="J11" s="90"/>
    </row>
    <row r="12" ht="32.25" customHeight="1"/>
    <row r="13" ht="78" customHeight="1"/>
    <row r="15" ht="15">
      <c r="G15" s="66"/>
    </row>
    <row r="16" ht="15">
      <c r="G16" s="66"/>
    </row>
    <row r="17" ht="15">
      <c r="G17" s="66"/>
    </row>
  </sheetData>
  <sheetProtection/>
  <mergeCells count="11">
    <mergeCell ref="B8:J8"/>
    <mergeCell ref="B10:J10"/>
    <mergeCell ref="J5:J6"/>
    <mergeCell ref="B7:J7"/>
    <mergeCell ref="G1:J1"/>
    <mergeCell ref="B3:I3"/>
    <mergeCell ref="A5:A6"/>
    <mergeCell ref="B5:B6"/>
    <mergeCell ref="C5:C6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17"/>
  <sheetViews>
    <sheetView zoomScalePageLayoutView="0" workbookViewId="0" topLeftCell="A10">
      <selection activeCell="A13" sqref="A13:X13"/>
    </sheetView>
  </sheetViews>
  <sheetFormatPr defaultColWidth="9.140625" defaultRowHeight="15"/>
  <cols>
    <col min="1" max="1" width="9.140625" style="50" customWidth="1"/>
    <col min="2" max="2" width="30.7109375" style="50" customWidth="1"/>
    <col min="3" max="12" width="9.140625" style="50" customWidth="1"/>
    <col min="13" max="22" width="0" style="50" hidden="1" customWidth="1"/>
    <col min="23" max="23" width="13.7109375" style="50" customWidth="1"/>
    <col min="24" max="24" width="17.57421875" style="50" customWidth="1"/>
    <col min="25" max="16384" width="9.140625" style="50" customWidth="1"/>
  </cols>
  <sheetData>
    <row r="1" spans="1:24" ht="15.7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 t="s">
        <v>197</v>
      </c>
      <c r="V1" s="56"/>
      <c r="W1" s="176" t="s">
        <v>316</v>
      </c>
      <c r="X1" s="177"/>
    </row>
    <row r="2" spans="1:24" ht="24" customHeight="1">
      <c r="A2" s="163" t="s">
        <v>317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55"/>
    </row>
    <row r="3" ht="15">
      <c r="A3" s="59"/>
    </row>
    <row r="4" spans="1:24" ht="15">
      <c r="A4" s="128" t="s">
        <v>410</v>
      </c>
      <c r="B4" s="128" t="s">
        <v>421</v>
      </c>
      <c r="C4" s="128" t="s">
        <v>411</v>
      </c>
      <c r="D4" s="128" t="s">
        <v>0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5" t="s">
        <v>414</v>
      </c>
      <c r="X4" s="128" t="s">
        <v>429</v>
      </c>
    </row>
    <row r="5" spans="1:24" ht="15">
      <c r="A5" s="128"/>
      <c r="B5" s="128"/>
      <c r="C5" s="128"/>
      <c r="D5" s="49">
        <v>2012</v>
      </c>
      <c r="E5" s="137">
        <v>2013</v>
      </c>
      <c r="F5" s="138"/>
      <c r="G5" s="131">
        <v>2014</v>
      </c>
      <c r="H5" s="131"/>
      <c r="I5" s="131">
        <v>2015</v>
      </c>
      <c r="J5" s="131"/>
      <c r="K5" s="131">
        <v>2016</v>
      </c>
      <c r="L5" s="131"/>
      <c r="M5" s="131">
        <v>2017</v>
      </c>
      <c r="N5" s="131"/>
      <c r="O5" s="131">
        <v>2018</v>
      </c>
      <c r="P5" s="131"/>
      <c r="Q5" s="131">
        <v>2019</v>
      </c>
      <c r="R5" s="131"/>
      <c r="S5" s="131">
        <v>2020</v>
      </c>
      <c r="T5" s="131"/>
      <c r="U5" s="131" t="s">
        <v>402</v>
      </c>
      <c r="V5" s="131"/>
      <c r="W5" s="126"/>
      <c r="X5" s="128"/>
    </row>
    <row r="6" spans="1:24" ht="27.75" customHeight="1">
      <c r="A6" s="128"/>
      <c r="B6" s="128"/>
      <c r="C6" s="128"/>
      <c r="D6" s="49" t="s">
        <v>412</v>
      </c>
      <c r="E6" s="49" t="s">
        <v>413</v>
      </c>
      <c r="F6" s="49" t="s">
        <v>412</v>
      </c>
      <c r="G6" s="49" t="s">
        <v>413</v>
      </c>
      <c r="H6" s="49" t="s">
        <v>412</v>
      </c>
      <c r="I6" s="49" t="s">
        <v>413</v>
      </c>
      <c r="J6" s="49" t="s">
        <v>412</v>
      </c>
      <c r="K6" s="49" t="s">
        <v>413</v>
      </c>
      <c r="L6" s="49" t="s">
        <v>412</v>
      </c>
      <c r="M6" s="49" t="s">
        <v>413</v>
      </c>
      <c r="N6" s="49" t="s">
        <v>412</v>
      </c>
      <c r="O6" s="49" t="s">
        <v>413</v>
      </c>
      <c r="P6" s="49" t="s">
        <v>412</v>
      </c>
      <c r="Q6" s="49" t="s">
        <v>413</v>
      </c>
      <c r="R6" s="49" t="s">
        <v>412</v>
      </c>
      <c r="S6" s="49" t="s">
        <v>413</v>
      </c>
      <c r="T6" s="49" t="s">
        <v>412</v>
      </c>
      <c r="U6" s="49" t="s">
        <v>413</v>
      </c>
      <c r="V6" s="49" t="s">
        <v>412</v>
      </c>
      <c r="W6" s="127"/>
      <c r="X6" s="128"/>
    </row>
    <row r="7" spans="1:24" ht="26.25" customHeight="1">
      <c r="A7" s="49"/>
      <c r="B7" s="133" t="s">
        <v>318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15">
      <c r="A8" s="49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4" ht="63.75">
      <c r="A9" s="49" t="s">
        <v>396</v>
      </c>
      <c r="B9" s="40" t="s">
        <v>319</v>
      </c>
      <c r="C9" s="49" t="s">
        <v>2</v>
      </c>
      <c r="D9" s="40">
        <v>37</v>
      </c>
      <c r="E9" s="40">
        <v>40</v>
      </c>
      <c r="F9" s="40"/>
      <c r="G9" s="40">
        <v>40</v>
      </c>
      <c r="H9" s="40"/>
      <c r="I9" s="40">
        <v>40</v>
      </c>
      <c r="J9" s="40"/>
      <c r="K9" s="40">
        <v>40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218</v>
      </c>
      <c r="X9" s="40"/>
    </row>
    <row r="10" spans="1:24" ht="89.25">
      <c r="A10" s="49" t="s">
        <v>397</v>
      </c>
      <c r="B10" s="40" t="s">
        <v>320</v>
      </c>
      <c r="C10" s="49" t="s">
        <v>2</v>
      </c>
      <c r="D10" s="40">
        <v>12</v>
      </c>
      <c r="E10" s="40">
        <v>14</v>
      </c>
      <c r="F10" s="40"/>
      <c r="G10" s="40">
        <v>15</v>
      </c>
      <c r="H10" s="40"/>
      <c r="I10" s="40">
        <v>15</v>
      </c>
      <c r="J10" s="40"/>
      <c r="K10" s="40">
        <v>15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218</v>
      </c>
      <c r="X10" s="40"/>
    </row>
    <row r="11" spans="1:24" ht="63.75">
      <c r="A11" s="49" t="s">
        <v>424</v>
      </c>
      <c r="B11" s="40" t="s">
        <v>321</v>
      </c>
      <c r="C11" s="49" t="s">
        <v>2</v>
      </c>
      <c r="D11" s="40">
        <v>21</v>
      </c>
      <c r="E11" s="40">
        <v>20</v>
      </c>
      <c r="F11" s="40"/>
      <c r="G11" s="40">
        <v>20</v>
      </c>
      <c r="H11" s="40"/>
      <c r="I11" s="40">
        <v>20</v>
      </c>
      <c r="J11" s="40"/>
      <c r="K11" s="40">
        <v>20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218</v>
      </c>
      <c r="X11" s="40"/>
    </row>
    <row r="12" spans="1:24" ht="76.5">
      <c r="A12" s="49" t="s">
        <v>4</v>
      </c>
      <c r="B12" s="40" t="s">
        <v>100</v>
      </c>
      <c r="C12" s="49" t="s">
        <v>2</v>
      </c>
      <c r="D12" s="40">
        <v>4.7</v>
      </c>
      <c r="E12" s="40">
        <v>5</v>
      </c>
      <c r="F12" s="40"/>
      <c r="G12" s="40">
        <v>5</v>
      </c>
      <c r="H12" s="40"/>
      <c r="I12" s="40">
        <v>5</v>
      </c>
      <c r="J12" s="40"/>
      <c r="K12" s="40">
        <v>5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218</v>
      </c>
      <c r="X12" s="40"/>
    </row>
    <row r="13" spans="1:24" ht="60" customHeight="1">
      <c r="A13" s="49" t="s">
        <v>6</v>
      </c>
      <c r="B13" s="40" t="s">
        <v>214</v>
      </c>
      <c r="C13" s="49" t="s">
        <v>2</v>
      </c>
      <c r="D13" s="40">
        <v>100</v>
      </c>
      <c r="E13" s="40">
        <v>100</v>
      </c>
      <c r="F13" s="40"/>
      <c r="G13" s="40">
        <v>100</v>
      </c>
      <c r="H13" s="40"/>
      <c r="I13" s="40">
        <v>100</v>
      </c>
      <c r="J13" s="40"/>
      <c r="K13" s="40">
        <v>100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 t="s">
        <v>218</v>
      </c>
      <c r="X13" s="40"/>
    </row>
    <row r="14" spans="1:24" ht="15">
      <c r="A14" s="49" t="s">
        <v>419</v>
      </c>
      <c r="B14" s="133" t="s">
        <v>422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5"/>
    </row>
    <row r="15" spans="1:24" ht="27.75" customHeight="1">
      <c r="A15" s="49" t="s">
        <v>401</v>
      </c>
      <c r="B15" s="132" t="s">
        <v>101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</row>
    <row r="16" spans="1:24" ht="98.25" customHeight="1">
      <c r="A16" s="49" t="s">
        <v>415</v>
      </c>
      <c r="B16" s="25" t="s">
        <v>322</v>
      </c>
      <c r="C16" s="49" t="s">
        <v>2</v>
      </c>
      <c r="D16" s="25">
        <v>72</v>
      </c>
      <c r="E16" s="25">
        <v>75</v>
      </c>
      <c r="F16" s="25"/>
      <c r="G16" s="25">
        <v>80</v>
      </c>
      <c r="H16" s="25"/>
      <c r="I16" s="25">
        <v>85</v>
      </c>
      <c r="J16" s="25"/>
      <c r="K16" s="25">
        <v>87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40" t="s">
        <v>323</v>
      </c>
      <c r="X16" s="40"/>
    </row>
    <row r="17" spans="1:24" ht="48" customHeight="1">
      <c r="A17" s="49" t="s">
        <v>416</v>
      </c>
      <c r="B17" s="25" t="s">
        <v>102</v>
      </c>
      <c r="C17" s="49" t="s">
        <v>103</v>
      </c>
      <c r="D17" s="25">
        <v>1</v>
      </c>
      <c r="E17" s="25">
        <v>1</v>
      </c>
      <c r="F17" s="25"/>
      <c r="G17" s="25">
        <v>1</v>
      </c>
      <c r="H17" s="25"/>
      <c r="I17" s="25">
        <v>1</v>
      </c>
      <c r="J17" s="25"/>
      <c r="K17" s="25">
        <v>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40" t="s">
        <v>218</v>
      </c>
      <c r="X17" s="91"/>
    </row>
  </sheetData>
  <sheetProtection/>
  <mergeCells count="21">
    <mergeCell ref="M5:N5"/>
    <mergeCell ref="I5:J5"/>
    <mergeCell ref="D4:V4"/>
    <mergeCell ref="B8:X8"/>
    <mergeCell ref="X4:X6"/>
    <mergeCell ref="W1:X1"/>
    <mergeCell ref="A2:W2"/>
    <mergeCell ref="A4:A6"/>
    <mergeCell ref="B4:B6"/>
    <mergeCell ref="C4:C6"/>
    <mergeCell ref="E5:F5"/>
    <mergeCell ref="B15:X15"/>
    <mergeCell ref="W4:W6"/>
    <mergeCell ref="K5:L5"/>
    <mergeCell ref="G5:H5"/>
    <mergeCell ref="O5:P5"/>
    <mergeCell ref="Q5:R5"/>
    <mergeCell ref="B7:X7"/>
    <mergeCell ref="S5:T5"/>
    <mergeCell ref="B14:X14"/>
    <mergeCell ref="U5:V5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3:F19"/>
  <sheetViews>
    <sheetView zoomScalePageLayoutView="0" workbookViewId="0" topLeftCell="A1">
      <selection activeCell="C9" sqref="C9:G19"/>
    </sheetView>
  </sheetViews>
  <sheetFormatPr defaultColWidth="9.140625" defaultRowHeight="15"/>
  <cols>
    <col min="1" max="1" width="30.421875" style="50" customWidth="1"/>
    <col min="2" max="2" width="9.140625" style="50" customWidth="1"/>
    <col min="3" max="3" width="13.28125" style="50" customWidth="1"/>
    <col min="4" max="4" width="12.8515625" style="50" customWidth="1"/>
    <col min="5" max="5" width="12.421875" style="50" customWidth="1"/>
    <col min="6" max="6" width="13.7109375" style="50" customWidth="1"/>
    <col min="7" max="16384" width="9.140625" style="50" customWidth="1"/>
  </cols>
  <sheetData>
    <row r="3" spans="5:6" ht="15.75">
      <c r="E3" s="266" t="s">
        <v>324</v>
      </c>
      <c r="F3" s="266"/>
    </row>
    <row r="5" spans="1:6" ht="28.5" customHeight="1">
      <c r="A5" s="163" t="s">
        <v>325</v>
      </c>
      <c r="B5" s="163"/>
      <c r="C5" s="163"/>
      <c r="D5" s="163"/>
      <c r="E5" s="163"/>
      <c r="F5" s="163"/>
    </row>
    <row r="7" spans="1:6" ht="27" customHeight="1">
      <c r="A7" s="225"/>
      <c r="B7" s="179"/>
      <c r="C7" s="147" t="s">
        <v>441</v>
      </c>
      <c r="D7" s="147"/>
      <c r="E7" s="147"/>
      <c r="F7" s="147"/>
    </row>
    <row r="8" spans="1:6" ht="15">
      <c r="A8" s="226"/>
      <c r="B8" s="180"/>
      <c r="C8" s="85" t="s">
        <v>395</v>
      </c>
      <c r="D8" s="85">
        <v>2014</v>
      </c>
      <c r="E8" s="85">
        <v>2015</v>
      </c>
      <c r="F8" s="85">
        <v>2016</v>
      </c>
    </row>
    <row r="9" spans="1:6" ht="15">
      <c r="A9" s="227"/>
      <c r="B9" s="181"/>
      <c r="C9" s="85" t="s">
        <v>440</v>
      </c>
      <c r="D9" s="85" t="s">
        <v>440</v>
      </c>
      <c r="E9" s="85" t="s">
        <v>440</v>
      </c>
      <c r="F9" s="85" t="s">
        <v>440</v>
      </c>
    </row>
    <row r="10" spans="1:6" ht="21" customHeight="1">
      <c r="A10" s="147" t="s">
        <v>19</v>
      </c>
      <c r="B10" s="86" t="s">
        <v>395</v>
      </c>
      <c r="C10" s="110">
        <f>SUM(C11:C14)</f>
        <v>53120928</v>
      </c>
      <c r="D10" s="110">
        <f>SUM(D11:D14)</f>
        <v>17236119</v>
      </c>
      <c r="E10" s="110">
        <f>SUM(E11:E14)</f>
        <v>17771592</v>
      </c>
      <c r="F10" s="110">
        <f>SUM(F11:F14)</f>
        <v>18113217</v>
      </c>
    </row>
    <row r="11" spans="1:6" ht="15">
      <c r="A11" s="147"/>
      <c r="B11" s="89" t="s">
        <v>393</v>
      </c>
      <c r="C11" s="88">
        <f>SUM(D11:F11)</f>
        <v>28881026</v>
      </c>
      <c r="D11" s="88">
        <f>D16</f>
        <v>9710939</v>
      </c>
      <c r="E11" s="88">
        <f>E16</f>
        <v>9659134</v>
      </c>
      <c r="F11" s="88">
        <f>F16</f>
        <v>9510953</v>
      </c>
    </row>
    <row r="12" spans="1:6" ht="15">
      <c r="A12" s="147"/>
      <c r="B12" s="89" t="s">
        <v>391</v>
      </c>
      <c r="C12" s="88">
        <f>SUM(D12:F12)</f>
        <v>9501200</v>
      </c>
      <c r="D12" s="88">
        <f aca="true" t="shared" si="0" ref="D12:F14">D17</f>
        <v>3072400</v>
      </c>
      <c r="E12" s="88">
        <f t="shared" si="0"/>
        <v>3214400</v>
      </c>
      <c r="F12" s="88">
        <f t="shared" si="0"/>
        <v>3214400</v>
      </c>
    </row>
    <row r="13" spans="1:6" ht="15">
      <c r="A13" s="147"/>
      <c r="B13" s="89" t="s">
        <v>392</v>
      </c>
      <c r="C13" s="88">
        <f>SUM(D13:F13)</f>
        <v>0</v>
      </c>
      <c r="D13" s="88">
        <f t="shared" si="0"/>
        <v>0</v>
      </c>
      <c r="E13" s="88">
        <f t="shared" si="0"/>
        <v>0</v>
      </c>
      <c r="F13" s="88">
        <f t="shared" si="0"/>
        <v>0</v>
      </c>
    </row>
    <row r="14" spans="1:6" ht="31.5" customHeight="1">
      <c r="A14" s="147"/>
      <c r="B14" s="89" t="s">
        <v>394</v>
      </c>
      <c r="C14" s="88">
        <f>SUM(D14:F14)</f>
        <v>14738702</v>
      </c>
      <c r="D14" s="88">
        <f t="shared" si="0"/>
        <v>4452780</v>
      </c>
      <c r="E14" s="88">
        <f t="shared" si="0"/>
        <v>4898058</v>
      </c>
      <c r="F14" s="88">
        <f t="shared" si="0"/>
        <v>5387864</v>
      </c>
    </row>
    <row r="15" spans="1:6" ht="23.25" customHeight="1">
      <c r="A15" s="147" t="s">
        <v>11</v>
      </c>
      <c r="B15" s="86" t="s">
        <v>395</v>
      </c>
      <c r="C15" s="110">
        <f>SUM(C16:C19)</f>
        <v>53120928</v>
      </c>
      <c r="D15" s="110">
        <f>SUM(D16:D19)</f>
        <v>17236119</v>
      </c>
      <c r="E15" s="110">
        <f>SUM(E16:E19)</f>
        <v>17771592</v>
      </c>
      <c r="F15" s="110">
        <f>SUM(F16:F19)</f>
        <v>18113217</v>
      </c>
    </row>
    <row r="16" spans="1:6" ht="15">
      <c r="A16" s="147"/>
      <c r="B16" s="89" t="s">
        <v>393</v>
      </c>
      <c r="C16" s="88">
        <f>SUM(D16:F16)</f>
        <v>28881026</v>
      </c>
      <c r="D16" s="88">
        <f>'Пр28 ОМ7'!F12</f>
        <v>9710939</v>
      </c>
      <c r="E16" s="88">
        <f>'Пр28 ОМ7'!F13</f>
        <v>9659134</v>
      </c>
      <c r="F16" s="88">
        <f>'Пр28 ОМ7'!F14</f>
        <v>9510953</v>
      </c>
    </row>
    <row r="17" spans="1:6" ht="15">
      <c r="A17" s="147"/>
      <c r="B17" s="89" t="s">
        <v>391</v>
      </c>
      <c r="C17" s="88">
        <f>SUM(D17:F17)</f>
        <v>9501200</v>
      </c>
      <c r="D17" s="88">
        <f>'Пр28 ОМ7'!G12</f>
        <v>3072400</v>
      </c>
      <c r="E17" s="88">
        <f>'Пр28 ОМ7'!G13</f>
        <v>3214400</v>
      </c>
      <c r="F17" s="88">
        <f>'Пр28 ОМ7'!G14</f>
        <v>3214400</v>
      </c>
    </row>
    <row r="18" spans="1:6" ht="15">
      <c r="A18" s="147"/>
      <c r="B18" s="89" t="s">
        <v>392</v>
      </c>
      <c r="C18" s="88">
        <f>SUM(D18:F18)</f>
        <v>0</v>
      </c>
      <c r="D18" s="88">
        <v>0</v>
      </c>
      <c r="E18" s="88">
        <v>0</v>
      </c>
      <c r="F18" s="88">
        <v>0</v>
      </c>
    </row>
    <row r="19" spans="1:6" ht="44.25" customHeight="1">
      <c r="A19" s="147"/>
      <c r="B19" s="89" t="s">
        <v>394</v>
      </c>
      <c r="C19" s="88">
        <f>SUM(D19:F19)</f>
        <v>14738702</v>
      </c>
      <c r="D19" s="88">
        <f>'Пр28 ОМ7'!I39</f>
        <v>4452780</v>
      </c>
      <c r="E19" s="88">
        <f>'Пр28 ОМ7'!I40</f>
        <v>4898058</v>
      </c>
      <c r="F19" s="88">
        <f>'Пр28 ОМ7'!I41</f>
        <v>5387864</v>
      </c>
    </row>
  </sheetData>
  <sheetProtection/>
  <mergeCells count="7">
    <mergeCell ref="A15:A19"/>
    <mergeCell ref="E3:F3"/>
    <mergeCell ref="A5:F5"/>
    <mergeCell ref="A7:A9"/>
    <mergeCell ref="B7:B9"/>
    <mergeCell ref="C7:F7"/>
    <mergeCell ref="A10:A14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45"/>
  <sheetViews>
    <sheetView zoomScalePageLayoutView="0" workbookViewId="0" topLeftCell="A8">
      <selection activeCell="A42" sqref="A42:B45"/>
    </sheetView>
  </sheetViews>
  <sheetFormatPr defaultColWidth="9.140625" defaultRowHeight="15"/>
  <cols>
    <col min="1" max="1" width="9.140625" style="50" customWidth="1"/>
    <col min="2" max="2" width="28.421875" style="50" customWidth="1"/>
    <col min="3" max="4" width="9.140625" style="50" customWidth="1"/>
    <col min="5" max="5" width="13.8515625" style="50" customWidth="1"/>
    <col min="6" max="6" width="12.28125" style="50" customWidth="1"/>
    <col min="7" max="7" width="13.57421875" style="50" customWidth="1"/>
    <col min="8" max="8" width="9.140625" style="50" customWidth="1"/>
    <col min="9" max="9" width="13.140625" style="50" customWidth="1"/>
    <col min="10" max="10" width="20.421875" style="50" customWidth="1"/>
    <col min="11" max="11" width="19.421875" style="50" customWidth="1"/>
    <col min="12" max="16384" width="9.140625" style="50" customWidth="1"/>
  </cols>
  <sheetData>
    <row r="1" ht="15">
      <c r="I1" s="63" t="s">
        <v>326</v>
      </c>
    </row>
    <row r="2" ht="15.75">
      <c r="F2" s="57"/>
    </row>
    <row r="3" spans="1:11" ht="27" customHeight="1">
      <c r="A3" s="163" t="s">
        <v>327</v>
      </c>
      <c r="B3" s="163"/>
      <c r="C3" s="163"/>
      <c r="D3" s="163"/>
      <c r="E3" s="163"/>
      <c r="F3" s="163"/>
      <c r="G3" s="163"/>
      <c r="H3" s="163"/>
      <c r="I3" s="163"/>
      <c r="J3" s="163"/>
      <c r="K3" s="58"/>
    </row>
    <row r="4" spans="1:11" ht="15">
      <c r="A4" s="58"/>
      <c r="B4" s="58"/>
      <c r="C4" s="58"/>
      <c r="D4" s="58"/>
      <c r="E4" s="58"/>
      <c r="F4" s="74"/>
      <c r="G4" s="58"/>
      <c r="H4" s="58"/>
      <c r="I4" s="58"/>
      <c r="J4" s="58"/>
      <c r="K4" s="58"/>
    </row>
    <row r="5" spans="1:11" ht="15">
      <c r="A5" s="58"/>
      <c r="B5" s="58"/>
      <c r="C5" s="58"/>
      <c r="D5" s="58"/>
      <c r="E5" s="58"/>
      <c r="F5" s="74"/>
      <c r="G5" s="58"/>
      <c r="H5" s="58"/>
      <c r="I5" s="58"/>
      <c r="J5" s="58"/>
      <c r="K5" s="58"/>
    </row>
    <row r="6" spans="1:11" ht="15">
      <c r="A6" s="58"/>
      <c r="B6" s="58"/>
      <c r="C6" s="58"/>
      <c r="D6" s="58"/>
      <c r="E6" s="64"/>
      <c r="F6" s="64"/>
      <c r="G6" s="64"/>
      <c r="H6" s="65"/>
      <c r="I6" s="65"/>
      <c r="J6" s="58"/>
      <c r="K6" s="58"/>
    </row>
    <row r="7" spans="1:11" ht="15">
      <c r="A7" s="58"/>
      <c r="B7" s="58"/>
      <c r="C7" s="58"/>
      <c r="D7" s="58"/>
      <c r="E7" s="58"/>
      <c r="F7" s="74"/>
      <c r="G7" s="58"/>
      <c r="H7" s="58"/>
      <c r="I7" s="58"/>
      <c r="J7" s="58"/>
      <c r="K7" s="58"/>
    </row>
    <row r="9" spans="1:11" ht="24.75" customHeight="1">
      <c r="A9" s="157" t="s">
        <v>389</v>
      </c>
      <c r="B9" s="149" t="s">
        <v>437</v>
      </c>
      <c r="C9" s="149" t="s">
        <v>403</v>
      </c>
      <c r="D9" s="149" t="s">
        <v>442</v>
      </c>
      <c r="E9" s="149"/>
      <c r="F9" s="149"/>
      <c r="G9" s="149"/>
      <c r="H9" s="149"/>
      <c r="I9" s="149"/>
      <c r="J9" s="150" t="s">
        <v>417</v>
      </c>
      <c r="K9" s="150" t="s">
        <v>398</v>
      </c>
    </row>
    <row r="10" spans="1:11" ht="36.75" customHeight="1">
      <c r="A10" s="157"/>
      <c r="B10" s="149"/>
      <c r="C10" s="149"/>
      <c r="D10" s="52" t="s">
        <v>390</v>
      </c>
      <c r="E10" s="52" t="s">
        <v>395</v>
      </c>
      <c r="F10" s="52" t="s">
        <v>393</v>
      </c>
      <c r="G10" s="52" t="s">
        <v>391</v>
      </c>
      <c r="H10" s="52" t="s">
        <v>392</v>
      </c>
      <c r="I10" s="52" t="s">
        <v>394</v>
      </c>
      <c r="J10" s="151"/>
      <c r="K10" s="162"/>
    </row>
    <row r="11" spans="1:11" ht="15">
      <c r="A11" s="157"/>
      <c r="B11" s="164" t="s">
        <v>19</v>
      </c>
      <c r="C11" s="149" t="s">
        <v>43</v>
      </c>
      <c r="D11" s="52" t="s">
        <v>395</v>
      </c>
      <c r="E11" s="53">
        <f>SUM(E12:E14)</f>
        <v>53120928</v>
      </c>
      <c r="F11" s="53">
        <f>SUM(F12:F14)</f>
        <v>28881026</v>
      </c>
      <c r="G11" s="53">
        <f>SUM(G12:G14)</f>
        <v>9501200</v>
      </c>
      <c r="H11" s="53">
        <f>SUM(H12:H14)</f>
        <v>0</v>
      </c>
      <c r="I11" s="53">
        <f>SUM(I12:I14)</f>
        <v>14738702</v>
      </c>
      <c r="J11" s="150"/>
      <c r="K11" s="150"/>
    </row>
    <row r="12" spans="1:11" ht="15">
      <c r="A12" s="157"/>
      <c r="B12" s="164"/>
      <c r="C12" s="149"/>
      <c r="D12" s="52">
        <v>2014</v>
      </c>
      <c r="E12" s="54">
        <f>SUM(F12:I12)</f>
        <v>17236119</v>
      </c>
      <c r="F12" s="54">
        <f>F21</f>
        <v>9710939</v>
      </c>
      <c r="G12" s="54">
        <f>G21</f>
        <v>3072400</v>
      </c>
      <c r="H12" s="54">
        <f>H21</f>
        <v>0</v>
      </c>
      <c r="I12" s="54">
        <f>I21</f>
        <v>4452780</v>
      </c>
      <c r="J12" s="151"/>
      <c r="K12" s="151"/>
    </row>
    <row r="13" spans="1:11" ht="15">
      <c r="A13" s="157"/>
      <c r="B13" s="164"/>
      <c r="C13" s="149"/>
      <c r="D13" s="52">
        <v>2015</v>
      </c>
      <c r="E13" s="54">
        <f>SUM(F13:I13)</f>
        <v>17771592</v>
      </c>
      <c r="F13" s="54">
        <f aca="true" t="shared" si="0" ref="F13:I14">F22</f>
        <v>9659134</v>
      </c>
      <c r="G13" s="54">
        <f t="shared" si="0"/>
        <v>3214400</v>
      </c>
      <c r="H13" s="54">
        <f t="shared" si="0"/>
        <v>0</v>
      </c>
      <c r="I13" s="54">
        <f t="shared" si="0"/>
        <v>4898058</v>
      </c>
      <c r="J13" s="151"/>
      <c r="K13" s="151"/>
    </row>
    <row r="14" spans="1:11" ht="15">
      <c r="A14" s="157"/>
      <c r="B14" s="164"/>
      <c r="C14" s="149"/>
      <c r="D14" s="52">
        <v>2016</v>
      </c>
      <c r="E14" s="54">
        <f>SUM(F14:I14)</f>
        <v>18113217</v>
      </c>
      <c r="F14" s="54">
        <f t="shared" si="0"/>
        <v>9510953</v>
      </c>
      <c r="G14" s="54">
        <f t="shared" si="0"/>
        <v>3214400</v>
      </c>
      <c r="H14" s="54">
        <f t="shared" si="0"/>
        <v>0</v>
      </c>
      <c r="I14" s="54">
        <f t="shared" si="0"/>
        <v>5387864</v>
      </c>
      <c r="J14" s="151"/>
      <c r="K14" s="151"/>
    </row>
    <row r="15" spans="1:11" ht="15" hidden="1">
      <c r="A15" s="157"/>
      <c r="B15" s="164"/>
      <c r="C15" s="149"/>
      <c r="D15" s="52">
        <v>2017</v>
      </c>
      <c r="E15" s="54"/>
      <c r="F15" s="54"/>
      <c r="G15" s="54"/>
      <c r="H15" s="54"/>
      <c r="I15" s="54"/>
      <c r="J15" s="151"/>
      <c r="K15" s="151"/>
    </row>
    <row r="16" spans="1:11" ht="15" hidden="1">
      <c r="A16" s="157"/>
      <c r="B16" s="164"/>
      <c r="C16" s="149"/>
      <c r="D16" s="52">
        <v>2018</v>
      </c>
      <c r="E16" s="54"/>
      <c r="F16" s="54"/>
      <c r="G16" s="54"/>
      <c r="H16" s="54"/>
      <c r="I16" s="54"/>
      <c r="J16" s="151"/>
      <c r="K16" s="151"/>
    </row>
    <row r="17" spans="1:11" ht="15" hidden="1">
      <c r="A17" s="157"/>
      <c r="B17" s="164"/>
      <c r="C17" s="149"/>
      <c r="D17" s="52">
        <v>2019</v>
      </c>
      <c r="E17" s="54"/>
      <c r="F17" s="54"/>
      <c r="G17" s="54"/>
      <c r="H17" s="54"/>
      <c r="I17" s="54"/>
      <c r="J17" s="151"/>
      <c r="K17" s="151"/>
    </row>
    <row r="18" spans="1:11" ht="15" hidden="1">
      <c r="A18" s="157"/>
      <c r="B18" s="164"/>
      <c r="C18" s="149"/>
      <c r="D18" s="52">
        <v>2020</v>
      </c>
      <c r="E18" s="54"/>
      <c r="F18" s="54"/>
      <c r="G18" s="54"/>
      <c r="H18" s="54"/>
      <c r="I18" s="54"/>
      <c r="J18" s="151"/>
      <c r="K18" s="151"/>
    </row>
    <row r="19" spans="1:11" ht="15" hidden="1">
      <c r="A19" s="157"/>
      <c r="B19" s="164"/>
      <c r="C19" s="149"/>
      <c r="D19" s="59" t="s">
        <v>402</v>
      </c>
      <c r="E19" s="54"/>
      <c r="F19" s="54"/>
      <c r="G19" s="54"/>
      <c r="H19" s="54"/>
      <c r="I19" s="54"/>
      <c r="J19" s="162"/>
      <c r="K19" s="162"/>
    </row>
    <row r="20" spans="1:11" ht="15">
      <c r="A20" s="157" t="s">
        <v>399</v>
      </c>
      <c r="B20" s="158" t="s">
        <v>104</v>
      </c>
      <c r="C20" s="149" t="s">
        <v>43</v>
      </c>
      <c r="D20" s="52" t="s">
        <v>395</v>
      </c>
      <c r="E20" s="53">
        <f>F20+G20+H20+I20</f>
        <v>53120928</v>
      </c>
      <c r="F20" s="53">
        <f>F21+F22+F23</f>
        <v>28881026</v>
      </c>
      <c r="G20" s="53">
        <f>G21+G22+G23</f>
        <v>9501200</v>
      </c>
      <c r="H20" s="53">
        <f>H21+H22+H23</f>
        <v>0</v>
      </c>
      <c r="I20" s="53">
        <f>I21+I22+I23</f>
        <v>14738702</v>
      </c>
      <c r="J20" s="150"/>
      <c r="K20" s="150"/>
    </row>
    <row r="21" spans="1:11" ht="15">
      <c r="A21" s="157"/>
      <c r="B21" s="158"/>
      <c r="C21" s="149"/>
      <c r="D21" s="52">
        <v>2014</v>
      </c>
      <c r="E21" s="54">
        <f>F21+G21+H21+I21</f>
        <v>17236119</v>
      </c>
      <c r="F21" s="54">
        <f aca="true" t="shared" si="1" ref="F21:G23">F30+F39+F43</f>
        <v>9710939</v>
      </c>
      <c r="G21" s="54">
        <f t="shared" si="1"/>
        <v>3072400</v>
      </c>
      <c r="H21" s="54">
        <f aca="true" t="shared" si="2" ref="H21:I23">H30+H39</f>
        <v>0</v>
      </c>
      <c r="I21" s="54">
        <f t="shared" si="2"/>
        <v>4452780</v>
      </c>
      <c r="J21" s="151"/>
      <c r="K21" s="151"/>
    </row>
    <row r="22" spans="1:11" ht="15">
      <c r="A22" s="157"/>
      <c r="B22" s="158"/>
      <c r="C22" s="149"/>
      <c r="D22" s="52">
        <v>2015</v>
      </c>
      <c r="E22" s="54">
        <f aca="true" t="shared" si="3" ref="E22:E38">F22+G22+H22+I22</f>
        <v>17771592</v>
      </c>
      <c r="F22" s="54">
        <f t="shared" si="1"/>
        <v>9659134</v>
      </c>
      <c r="G22" s="54">
        <f t="shared" si="1"/>
        <v>3214400</v>
      </c>
      <c r="H22" s="54">
        <f t="shared" si="2"/>
        <v>0</v>
      </c>
      <c r="I22" s="54">
        <f t="shared" si="2"/>
        <v>4898058</v>
      </c>
      <c r="J22" s="151"/>
      <c r="K22" s="151"/>
    </row>
    <row r="23" spans="1:11" ht="15">
      <c r="A23" s="157"/>
      <c r="B23" s="158"/>
      <c r="C23" s="149"/>
      <c r="D23" s="52">
        <v>2016</v>
      </c>
      <c r="E23" s="54">
        <f t="shared" si="3"/>
        <v>18113217</v>
      </c>
      <c r="F23" s="54">
        <f t="shared" si="1"/>
        <v>9510953</v>
      </c>
      <c r="G23" s="54">
        <f t="shared" si="1"/>
        <v>3214400</v>
      </c>
      <c r="H23" s="54">
        <f t="shared" si="2"/>
        <v>0</v>
      </c>
      <c r="I23" s="54">
        <f t="shared" si="2"/>
        <v>5387864</v>
      </c>
      <c r="J23" s="151"/>
      <c r="K23" s="151"/>
    </row>
    <row r="24" spans="1:11" ht="15" hidden="1">
      <c r="A24" s="157"/>
      <c r="B24" s="158"/>
      <c r="C24" s="149"/>
      <c r="D24" s="52">
        <v>2017</v>
      </c>
      <c r="E24" s="54">
        <f t="shared" si="3"/>
        <v>2150680</v>
      </c>
      <c r="F24" s="54">
        <f>F33+F43</f>
        <v>2150680</v>
      </c>
      <c r="G24" s="54"/>
      <c r="H24" s="54"/>
      <c r="I24" s="54"/>
      <c r="J24" s="151"/>
      <c r="K24" s="151"/>
    </row>
    <row r="25" spans="1:11" ht="15" hidden="1">
      <c r="A25" s="157"/>
      <c r="B25" s="158"/>
      <c r="C25" s="149"/>
      <c r="D25" s="52">
        <v>2018</v>
      </c>
      <c r="E25" s="54">
        <f t="shared" si="3"/>
        <v>2250080</v>
      </c>
      <c r="F25" s="54">
        <f>F34+F44</f>
        <v>2250080</v>
      </c>
      <c r="G25" s="54"/>
      <c r="H25" s="54"/>
      <c r="I25" s="54"/>
      <c r="J25" s="151"/>
      <c r="K25" s="151"/>
    </row>
    <row r="26" spans="1:11" ht="15" hidden="1">
      <c r="A26" s="157"/>
      <c r="B26" s="158"/>
      <c r="C26" s="149"/>
      <c r="D26" s="52">
        <v>2019</v>
      </c>
      <c r="E26" s="54">
        <f t="shared" si="3"/>
        <v>2250080</v>
      </c>
      <c r="F26" s="54">
        <f>F35+F45</f>
        <v>2250080</v>
      </c>
      <c r="G26" s="54"/>
      <c r="H26" s="54"/>
      <c r="I26" s="54"/>
      <c r="J26" s="151"/>
      <c r="K26" s="151"/>
    </row>
    <row r="27" spans="1:11" ht="15" hidden="1">
      <c r="A27" s="157"/>
      <c r="B27" s="158"/>
      <c r="C27" s="149"/>
      <c r="D27" s="52">
        <v>2020</v>
      </c>
      <c r="E27" s="54">
        <f t="shared" si="3"/>
        <v>0</v>
      </c>
      <c r="F27" s="54">
        <f>F36+F46</f>
        <v>0</v>
      </c>
      <c r="G27" s="54"/>
      <c r="H27" s="54"/>
      <c r="I27" s="54"/>
      <c r="J27" s="151"/>
      <c r="K27" s="151"/>
    </row>
    <row r="28" spans="1:11" ht="15" hidden="1">
      <c r="A28" s="157"/>
      <c r="B28" s="158"/>
      <c r="C28" s="149"/>
      <c r="D28" s="75" t="s">
        <v>402</v>
      </c>
      <c r="E28" s="54">
        <f t="shared" si="3"/>
        <v>0</v>
      </c>
      <c r="F28" s="54">
        <f>F37+F47</f>
        <v>0</v>
      </c>
      <c r="G28" s="54"/>
      <c r="H28" s="54"/>
      <c r="I28" s="54"/>
      <c r="J28" s="162"/>
      <c r="K28" s="162"/>
    </row>
    <row r="29" spans="1:11" ht="15">
      <c r="A29" s="157" t="s">
        <v>396</v>
      </c>
      <c r="B29" s="158" t="s">
        <v>105</v>
      </c>
      <c r="C29" s="149" t="s">
        <v>43</v>
      </c>
      <c r="D29" s="52" t="s">
        <v>395</v>
      </c>
      <c r="E29" s="53">
        <f t="shared" si="3"/>
        <v>22230186</v>
      </c>
      <c r="F29" s="53">
        <f>F30+F31+F32</f>
        <v>22230186</v>
      </c>
      <c r="G29" s="53">
        <f>G30+G31+G32</f>
        <v>0</v>
      </c>
      <c r="H29" s="53">
        <f>H30+H31+H32</f>
        <v>0</v>
      </c>
      <c r="I29" s="53">
        <f>I30+I31+I32</f>
        <v>0</v>
      </c>
      <c r="J29" s="150" t="s">
        <v>106</v>
      </c>
      <c r="K29" s="150" t="s">
        <v>107</v>
      </c>
    </row>
    <row r="30" spans="1:11" ht="15">
      <c r="A30" s="157"/>
      <c r="B30" s="158"/>
      <c r="C30" s="149"/>
      <c r="D30" s="52">
        <v>2014</v>
      </c>
      <c r="E30" s="54">
        <f t="shared" si="3"/>
        <v>7560259</v>
      </c>
      <c r="F30" s="54">
        <v>7560259</v>
      </c>
      <c r="G30" s="54"/>
      <c r="H30" s="54"/>
      <c r="I30" s="54"/>
      <c r="J30" s="151"/>
      <c r="K30" s="151"/>
    </row>
    <row r="31" spans="1:11" ht="15">
      <c r="A31" s="157"/>
      <c r="B31" s="158"/>
      <c r="C31" s="149"/>
      <c r="D31" s="52">
        <v>2015</v>
      </c>
      <c r="E31" s="54">
        <f t="shared" si="3"/>
        <v>7409054</v>
      </c>
      <c r="F31" s="54">
        <v>7409054</v>
      </c>
      <c r="G31" s="54"/>
      <c r="H31" s="54"/>
      <c r="I31" s="54"/>
      <c r="J31" s="151"/>
      <c r="K31" s="151"/>
    </row>
    <row r="32" spans="1:11" ht="23.25" customHeight="1">
      <c r="A32" s="157"/>
      <c r="B32" s="158"/>
      <c r="C32" s="149"/>
      <c r="D32" s="52">
        <v>2016</v>
      </c>
      <c r="E32" s="54">
        <f t="shared" si="3"/>
        <v>7260873</v>
      </c>
      <c r="F32" s="54">
        <v>7260873</v>
      </c>
      <c r="G32" s="54"/>
      <c r="H32" s="54"/>
      <c r="I32" s="54"/>
      <c r="J32" s="151"/>
      <c r="K32" s="151"/>
    </row>
    <row r="33" spans="1:11" ht="15" hidden="1">
      <c r="A33" s="157"/>
      <c r="B33" s="158"/>
      <c r="C33" s="149"/>
      <c r="D33" s="52">
        <v>2017</v>
      </c>
      <c r="E33" s="54">
        <f t="shared" si="3"/>
        <v>0</v>
      </c>
      <c r="F33" s="54"/>
      <c r="G33" s="54"/>
      <c r="H33" s="54"/>
      <c r="I33" s="54"/>
      <c r="J33" s="151"/>
      <c r="K33" s="151"/>
    </row>
    <row r="34" spans="1:11" ht="15" hidden="1">
      <c r="A34" s="157"/>
      <c r="B34" s="158"/>
      <c r="C34" s="149"/>
      <c r="D34" s="52">
        <v>2018</v>
      </c>
      <c r="E34" s="54">
        <f t="shared" si="3"/>
        <v>0</v>
      </c>
      <c r="F34" s="54"/>
      <c r="G34" s="54"/>
      <c r="H34" s="54"/>
      <c r="I34" s="54"/>
      <c r="J34" s="151"/>
      <c r="K34" s="151"/>
    </row>
    <row r="35" spans="1:11" ht="15" hidden="1">
      <c r="A35" s="157"/>
      <c r="B35" s="158"/>
      <c r="C35" s="149"/>
      <c r="D35" s="52">
        <v>2019</v>
      </c>
      <c r="E35" s="54">
        <f t="shared" si="3"/>
        <v>0</v>
      </c>
      <c r="F35" s="54"/>
      <c r="G35" s="54"/>
      <c r="H35" s="54"/>
      <c r="I35" s="54"/>
      <c r="J35" s="151"/>
      <c r="K35" s="151"/>
    </row>
    <row r="36" spans="1:11" ht="15" hidden="1">
      <c r="A36" s="157"/>
      <c r="B36" s="158"/>
      <c r="C36" s="149"/>
      <c r="D36" s="52">
        <v>2020</v>
      </c>
      <c r="E36" s="54">
        <f t="shared" si="3"/>
        <v>0</v>
      </c>
      <c r="F36" s="54"/>
      <c r="G36" s="54"/>
      <c r="H36" s="54"/>
      <c r="I36" s="54"/>
      <c r="J36" s="151"/>
      <c r="K36" s="151"/>
    </row>
    <row r="37" spans="1:11" ht="15" hidden="1">
      <c r="A37" s="157"/>
      <c r="B37" s="158"/>
      <c r="C37" s="149"/>
      <c r="D37" s="75" t="s">
        <v>402</v>
      </c>
      <c r="E37" s="54">
        <f t="shared" si="3"/>
        <v>0</v>
      </c>
      <c r="F37" s="54"/>
      <c r="G37" s="54"/>
      <c r="H37" s="54"/>
      <c r="I37" s="54"/>
      <c r="J37" s="162"/>
      <c r="K37" s="162"/>
    </row>
    <row r="38" spans="1:11" ht="15" customHeight="1">
      <c r="A38" s="157" t="s">
        <v>397</v>
      </c>
      <c r="B38" s="158" t="s">
        <v>108</v>
      </c>
      <c r="C38" s="157" t="s">
        <v>43</v>
      </c>
      <c r="D38" s="52" t="s">
        <v>395</v>
      </c>
      <c r="E38" s="53">
        <f t="shared" si="3"/>
        <v>14738702</v>
      </c>
      <c r="F38" s="53">
        <f>F39+F40+F41</f>
        <v>0</v>
      </c>
      <c r="G38" s="53">
        <f>G39+G40+G41</f>
        <v>0</v>
      </c>
      <c r="H38" s="53">
        <f>H39+H40+H41</f>
        <v>0</v>
      </c>
      <c r="I38" s="53">
        <f>I39+I40+I41</f>
        <v>14738702</v>
      </c>
      <c r="J38" s="149" t="s">
        <v>109</v>
      </c>
      <c r="K38" s="149" t="s">
        <v>107</v>
      </c>
    </row>
    <row r="39" spans="1:11" ht="15">
      <c r="A39" s="157"/>
      <c r="B39" s="158"/>
      <c r="C39" s="157"/>
      <c r="D39" s="52">
        <v>2014</v>
      </c>
      <c r="E39" s="54">
        <f>SUM(F39:I39)</f>
        <v>4452780</v>
      </c>
      <c r="F39" s="54"/>
      <c r="G39" s="54"/>
      <c r="H39" s="54"/>
      <c r="I39" s="54">
        <v>4452780</v>
      </c>
      <c r="J39" s="149"/>
      <c r="K39" s="149"/>
    </row>
    <row r="40" spans="1:11" ht="15">
      <c r="A40" s="157"/>
      <c r="B40" s="158"/>
      <c r="C40" s="157"/>
      <c r="D40" s="52">
        <v>2015</v>
      </c>
      <c r="E40" s="54">
        <f>SUM(F40:I40)</f>
        <v>4898058</v>
      </c>
      <c r="F40" s="54"/>
      <c r="G40" s="54"/>
      <c r="H40" s="54"/>
      <c r="I40" s="54">
        <v>4898058</v>
      </c>
      <c r="J40" s="149"/>
      <c r="K40" s="149"/>
    </row>
    <row r="41" spans="1:11" ht="15">
      <c r="A41" s="157"/>
      <c r="B41" s="158"/>
      <c r="C41" s="157"/>
      <c r="D41" s="52">
        <v>2016</v>
      </c>
      <c r="E41" s="54">
        <f>SUM(F41:I41)</f>
        <v>5387864</v>
      </c>
      <c r="F41" s="54"/>
      <c r="G41" s="54"/>
      <c r="H41" s="54"/>
      <c r="I41" s="54">
        <v>5387864</v>
      </c>
      <c r="J41" s="149"/>
      <c r="K41" s="149"/>
    </row>
    <row r="42" spans="1:11" ht="33.75" customHeight="1">
      <c r="A42" s="154" t="s">
        <v>424</v>
      </c>
      <c r="B42" s="159" t="s">
        <v>263</v>
      </c>
      <c r="C42" s="154" t="s">
        <v>43</v>
      </c>
      <c r="D42" s="52" t="s">
        <v>395</v>
      </c>
      <c r="E42" s="53">
        <f>F42+G42+H42+I42</f>
        <v>16152040</v>
      </c>
      <c r="F42" s="53">
        <f>F43+F44+F45</f>
        <v>6650840</v>
      </c>
      <c r="G42" s="53">
        <f>G43+G44+G45</f>
        <v>9501200</v>
      </c>
      <c r="H42" s="53">
        <f>H43+H44+H45</f>
        <v>0</v>
      </c>
      <c r="I42" s="53">
        <f>I43+I44+I45</f>
        <v>0</v>
      </c>
      <c r="J42" s="149" t="s">
        <v>309</v>
      </c>
      <c r="K42" s="149" t="s">
        <v>262</v>
      </c>
    </row>
    <row r="43" spans="1:11" ht="15">
      <c r="A43" s="155"/>
      <c r="B43" s="160"/>
      <c r="C43" s="155"/>
      <c r="D43" s="52">
        <v>2014</v>
      </c>
      <c r="E43" s="54">
        <f>F43+G43+H43+I43</f>
        <v>5223080</v>
      </c>
      <c r="F43" s="54">
        <f>2150680</f>
        <v>2150680</v>
      </c>
      <c r="G43" s="54">
        <f>3072400</f>
        <v>3072400</v>
      </c>
      <c r="H43" s="54"/>
      <c r="I43" s="54"/>
      <c r="J43" s="165"/>
      <c r="K43" s="149"/>
    </row>
    <row r="44" spans="1:11" ht="15">
      <c r="A44" s="155"/>
      <c r="B44" s="160"/>
      <c r="C44" s="155"/>
      <c r="D44" s="52">
        <v>2015</v>
      </c>
      <c r="E44" s="54">
        <f>F44+G44+H44+I44</f>
        <v>5464480</v>
      </c>
      <c r="F44" s="54">
        <f>2250080</f>
        <v>2250080</v>
      </c>
      <c r="G44" s="54">
        <f>3214400</f>
        <v>3214400</v>
      </c>
      <c r="H44" s="54"/>
      <c r="I44" s="54"/>
      <c r="J44" s="165"/>
      <c r="K44" s="149"/>
    </row>
    <row r="45" spans="1:11" ht="15">
      <c r="A45" s="156"/>
      <c r="B45" s="161"/>
      <c r="C45" s="156"/>
      <c r="D45" s="52">
        <v>2016</v>
      </c>
      <c r="E45" s="54">
        <f>F45+G45+H45+I45</f>
        <v>5464480</v>
      </c>
      <c r="F45" s="54">
        <f>2250080</f>
        <v>2250080</v>
      </c>
      <c r="G45" s="54">
        <f>3214400</f>
        <v>3214400</v>
      </c>
      <c r="H45" s="54"/>
      <c r="I45" s="54"/>
      <c r="J45" s="165"/>
      <c r="K45" s="149"/>
    </row>
  </sheetData>
  <sheetProtection/>
  <mergeCells count="32">
    <mergeCell ref="A3:J3"/>
    <mergeCell ref="A9:A10"/>
    <mergeCell ref="B9:B10"/>
    <mergeCell ref="C9:C10"/>
    <mergeCell ref="D9:I9"/>
    <mergeCell ref="J9:J10"/>
    <mergeCell ref="K9:K10"/>
    <mergeCell ref="A11:A19"/>
    <mergeCell ref="B11:B19"/>
    <mergeCell ref="C11:C19"/>
    <mergeCell ref="J11:J19"/>
    <mergeCell ref="A29:A37"/>
    <mergeCell ref="B29:B37"/>
    <mergeCell ref="C29:C37"/>
    <mergeCell ref="J29:J37"/>
    <mergeCell ref="K11:K19"/>
    <mergeCell ref="A20:A28"/>
    <mergeCell ref="B20:B28"/>
    <mergeCell ref="C20:C28"/>
    <mergeCell ref="J20:J28"/>
    <mergeCell ref="K20:K28"/>
    <mergeCell ref="K29:K37"/>
    <mergeCell ref="A42:A45"/>
    <mergeCell ref="B42:B45"/>
    <mergeCell ref="C42:C45"/>
    <mergeCell ref="J42:J45"/>
    <mergeCell ref="K42:K45"/>
    <mergeCell ref="A38:A41"/>
    <mergeCell ref="B38:B41"/>
    <mergeCell ref="C38:C41"/>
    <mergeCell ref="J38:J41"/>
    <mergeCell ref="K38:K41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2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9.140625" style="50" customWidth="1"/>
    <col min="2" max="2" width="34.00390625" style="50" customWidth="1"/>
    <col min="3" max="6" width="9.140625" style="50" customWidth="1"/>
    <col min="7" max="7" width="15.8515625" style="50" customWidth="1"/>
    <col min="8" max="8" width="13.421875" style="50" customWidth="1"/>
    <col min="9" max="9" width="14.7109375" style="50" customWidth="1"/>
    <col min="10" max="10" width="22.28125" style="50" customWidth="1"/>
    <col min="11" max="16384" width="9.140625" style="50" customWidth="1"/>
  </cols>
  <sheetData>
    <row r="1" spans="1:10" ht="15.75">
      <c r="A1" s="56"/>
      <c r="B1" s="77"/>
      <c r="C1" s="77"/>
      <c r="D1" s="77"/>
      <c r="E1" s="77"/>
      <c r="F1" s="77"/>
      <c r="G1" s="265" t="s">
        <v>344</v>
      </c>
      <c r="H1" s="265"/>
      <c r="I1" s="265"/>
      <c r="J1" s="265"/>
    </row>
    <row r="2" spans="1:10" ht="15.75">
      <c r="A2" s="56"/>
      <c r="B2" s="77"/>
      <c r="C2" s="77"/>
      <c r="D2" s="77"/>
      <c r="E2" s="77"/>
      <c r="F2" s="57"/>
      <c r="G2" s="77"/>
      <c r="H2" s="77"/>
      <c r="I2" s="77"/>
      <c r="J2" s="56"/>
    </row>
    <row r="3" spans="1:10" ht="31.5" customHeight="1">
      <c r="A3" s="56"/>
      <c r="B3" s="231" t="s">
        <v>439</v>
      </c>
      <c r="C3" s="231"/>
      <c r="D3" s="231"/>
      <c r="E3" s="231"/>
      <c r="F3" s="231"/>
      <c r="G3" s="231"/>
      <c r="H3" s="231"/>
      <c r="I3" s="231"/>
      <c r="J3" s="56"/>
    </row>
    <row r="4" spans="1:10" ht="15.75">
      <c r="A4" s="56"/>
      <c r="B4" s="77"/>
      <c r="C4" s="77"/>
      <c r="D4" s="77"/>
      <c r="E4" s="77"/>
      <c r="F4" s="77"/>
      <c r="G4" s="77"/>
      <c r="H4" s="77"/>
      <c r="I4" s="77"/>
      <c r="J4" s="56"/>
    </row>
    <row r="5" spans="1:10" ht="15">
      <c r="A5" s="171" t="s">
        <v>410</v>
      </c>
      <c r="B5" s="171" t="s">
        <v>433</v>
      </c>
      <c r="C5" s="171" t="s">
        <v>428</v>
      </c>
      <c r="D5" s="169" t="s">
        <v>426</v>
      </c>
      <c r="E5" s="169"/>
      <c r="F5" s="169"/>
      <c r="G5" s="169" t="s">
        <v>443</v>
      </c>
      <c r="H5" s="169"/>
      <c r="I5" s="169"/>
      <c r="J5" s="169" t="s">
        <v>405</v>
      </c>
    </row>
    <row r="6" spans="1:10" ht="15">
      <c r="A6" s="172"/>
      <c r="B6" s="172"/>
      <c r="C6" s="172"/>
      <c r="D6" s="78" t="s">
        <v>385</v>
      </c>
      <c r="E6" s="78" t="s">
        <v>386</v>
      </c>
      <c r="F6" s="78" t="s">
        <v>387</v>
      </c>
      <c r="G6" s="78" t="s">
        <v>385</v>
      </c>
      <c r="H6" s="78" t="s">
        <v>386</v>
      </c>
      <c r="I6" s="78" t="s">
        <v>387</v>
      </c>
      <c r="J6" s="169"/>
    </row>
    <row r="7" spans="1:10" ht="21" customHeight="1">
      <c r="A7" s="69"/>
      <c r="B7" s="173" t="s">
        <v>19</v>
      </c>
      <c r="C7" s="174"/>
      <c r="D7" s="174"/>
      <c r="E7" s="174"/>
      <c r="F7" s="174"/>
      <c r="G7" s="174"/>
      <c r="H7" s="174"/>
      <c r="I7" s="174"/>
      <c r="J7" s="175"/>
    </row>
    <row r="8" spans="1:10" ht="40.5" customHeight="1">
      <c r="A8" s="69" t="s">
        <v>399</v>
      </c>
      <c r="B8" s="173" t="s">
        <v>110</v>
      </c>
      <c r="C8" s="174"/>
      <c r="D8" s="174"/>
      <c r="E8" s="174"/>
      <c r="F8" s="174"/>
      <c r="G8" s="174"/>
      <c r="H8" s="174"/>
      <c r="I8" s="174"/>
      <c r="J8" s="175"/>
    </row>
    <row r="9" spans="1:10" ht="48.75" customHeight="1">
      <c r="A9" s="79" t="s">
        <v>396</v>
      </c>
      <c r="B9" s="72" t="s">
        <v>315</v>
      </c>
      <c r="C9" s="72" t="s">
        <v>48</v>
      </c>
      <c r="D9" s="72">
        <v>2694</v>
      </c>
      <c r="E9" s="72">
        <v>2707</v>
      </c>
      <c r="F9" s="72">
        <v>2762</v>
      </c>
      <c r="G9" s="38">
        <f>'Пр28 ОМ7'!F30</f>
        <v>7560259</v>
      </c>
      <c r="H9" s="38">
        <f>'Пр28 ОМ7'!F31</f>
        <v>7409054</v>
      </c>
      <c r="I9" s="38">
        <f>'Пр28 ОМ7'!F32</f>
        <v>7260873</v>
      </c>
      <c r="J9" s="90"/>
    </row>
    <row r="10" ht="15" hidden="1"/>
    <row r="11" spans="1:10" ht="23.25" customHeight="1">
      <c r="A11" s="69">
        <v>2</v>
      </c>
      <c r="B11" s="173" t="s">
        <v>267</v>
      </c>
      <c r="C11" s="174"/>
      <c r="D11" s="174"/>
      <c r="E11" s="174"/>
      <c r="F11" s="174"/>
      <c r="G11" s="174"/>
      <c r="H11" s="174"/>
      <c r="I11" s="174"/>
      <c r="J11" s="175"/>
    </row>
    <row r="12" spans="1:10" ht="30">
      <c r="A12" s="79" t="s">
        <v>401</v>
      </c>
      <c r="B12" s="72" t="s">
        <v>315</v>
      </c>
      <c r="C12" s="72" t="s">
        <v>48</v>
      </c>
      <c r="D12" s="72">
        <v>2262</v>
      </c>
      <c r="E12" s="72">
        <v>2275</v>
      </c>
      <c r="F12" s="72">
        <v>2330</v>
      </c>
      <c r="G12" s="38">
        <f>'Пр28 ОМ7'!E43</f>
        <v>5223080</v>
      </c>
      <c r="H12" s="38">
        <f>'Пр28 ОМ7'!E44</f>
        <v>5464480</v>
      </c>
      <c r="I12" s="38">
        <f>'Пр28 ОМ7'!E45</f>
        <v>5464480</v>
      </c>
      <c r="J12" s="90"/>
    </row>
  </sheetData>
  <sheetProtection/>
  <mergeCells count="11">
    <mergeCell ref="G1:J1"/>
    <mergeCell ref="B3:I3"/>
    <mergeCell ref="G5:I5"/>
    <mergeCell ref="J5:J6"/>
    <mergeCell ref="B7:J7"/>
    <mergeCell ref="B11:J11"/>
    <mergeCell ref="A5:A6"/>
    <mergeCell ref="B5:B6"/>
    <mergeCell ref="C5:C6"/>
    <mergeCell ref="D5:F5"/>
    <mergeCell ref="B8:J8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21"/>
  <sheetViews>
    <sheetView zoomScaleSheetLayoutView="115" zoomScalePageLayoutView="0" workbookViewId="0" topLeftCell="A1">
      <selection activeCell="A1" sqref="A1:X15"/>
    </sheetView>
  </sheetViews>
  <sheetFormatPr defaultColWidth="9.140625" defaultRowHeight="15"/>
  <cols>
    <col min="1" max="1" width="6.421875" style="1" customWidth="1"/>
    <col min="2" max="2" width="33.8515625" style="0" customWidth="1"/>
    <col min="4" max="5" width="7.00390625" style="0" customWidth="1"/>
    <col min="6" max="6" width="5.421875" style="0" customWidth="1"/>
    <col min="7" max="7" width="7.00390625" style="0" customWidth="1"/>
    <col min="8" max="8" width="4.7109375" style="0" customWidth="1"/>
    <col min="9" max="9" width="7.00390625" style="0" customWidth="1"/>
    <col min="10" max="10" width="5.28125" style="0" customWidth="1"/>
    <col min="11" max="11" width="7.00390625" style="0" customWidth="1"/>
    <col min="12" max="12" width="5.00390625" style="0" customWidth="1"/>
    <col min="13" max="13" width="7.00390625" style="0" hidden="1" customWidth="1"/>
    <col min="14" max="14" width="5.421875" style="0" hidden="1" customWidth="1"/>
    <col min="15" max="15" width="7.00390625" style="0" hidden="1" customWidth="1"/>
    <col min="16" max="16" width="5.28125" style="0" hidden="1" customWidth="1"/>
    <col min="17" max="17" width="7.00390625" style="0" hidden="1" customWidth="1"/>
    <col min="18" max="18" width="5.00390625" style="0" hidden="1" customWidth="1"/>
    <col min="19" max="19" width="7.00390625" style="0" hidden="1" customWidth="1"/>
    <col min="20" max="20" width="5.421875" style="0" hidden="1" customWidth="1"/>
    <col min="21" max="21" width="7.00390625" style="0" hidden="1" customWidth="1"/>
    <col min="22" max="22" width="5.7109375" style="0" hidden="1" customWidth="1"/>
    <col min="23" max="24" width="18.140625" style="0" customWidth="1"/>
  </cols>
  <sheetData>
    <row r="1" spans="1:24" ht="15.7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 t="s">
        <v>21</v>
      </c>
      <c r="R1" s="50"/>
      <c r="S1" s="50"/>
      <c r="T1" s="50"/>
      <c r="U1" s="50"/>
      <c r="V1" s="56"/>
      <c r="W1" s="129" t="s">
        <v>21</v>
      </c>
      <c r="X1" s="130"/>
    </row>
    <row r="2" spans="1:24" ht="15">
      <c r="A2" s="136" t="s">
        <v>366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55"/>
    </row>
    <row r="3" spans="1:24" ht="15">
      <c r="A3" s="5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21" customHeight="1">
      <c r="A4" s="128" t="s">
        <v>410</v>
      </c>
      <c r="B4" s="128" t="s">
        <v>421</v>
      </c>
      <c r="C4" s="128" t="s">
        <v>411</v>
      </c>
      <c r="D4" s="128" t="s">
        <v>0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5" t="s">
        <v>414</v>
      </c>
      <c r="X4" s="128" t="s">
        <v>429</v>
      </c>
    </row>
    <row r="5" spans="1:24" ht="15">
      <c r="A5" s="128"/>
      <c r="B5" s="128"/>
      <c r="C5" s="128"/>
      <c r="D5" s="49">
        <v>2012</v>
      </c>
      <c r="E5" s="137">
        <v>2013</v>
      </c>
      <c r="F5" s="138"/>
      <c r="G5" s="131">
        <v>2014</v>
      </c>
      <c r="H5" s="131"/>
      <c r="I5" s="131">
        <v>2015</v>
      </c>
      <c r="J5" s="131"/>
      <c r="K5" s="131">
        <v>2016</v>
      </c>
      <c r="L5" s="131"/>
      <c r="M5" s="131">
        <v>2017</v>
      </c>
      <c r="N5" s="131"/>
      <c r="O5" s="131">
        <v>2018</v>
      </c>
      <c r="P5" s="131"/>
      <c r="Q5" s="131">
        <v>2019</v>
      </c>
      <c r="R5" s="131"/>
      <c r="S5" s="131">
        <v>2020</v>
      </c>
      <c r="T5" s="131"/>
      <c r="U5" s="131" t="s">
        <v>402</v>
      </c>
      <c r="V5" s="131"/>
      <c r="W5" s="126"/>
      <c r="X5" s="128"/>
    </row>
    <row r="6" spans="1:24" ht="25.5">
      <c r="A6" s="128"/>
      <c r="B6" s="128"/>
      <c r="C6" s="128"/>
      <c r="D6" s="49" t="s">
        <v>412</v>
      </c>
      <c r="E6" s="49" t="s">
        <v>413</v>
      </c>
      <c r="F6" s="49" t="s">
        <v>412</v>
      </c>
      <c r="G6" s="49" t="s">
        <v>413</v>
      </c>
      <c r="H6" s="49" t="s">
        <v>412</v>
      </c>
      <c r="I6" s="49" t="s">
        <v>413</v>
      </c>
      <c r="J6" s="49" t="s">
        <v>412</v>
      </c>
      <c r="K6" s="49" t="s">
        <v>413</v>
      </c>
      <c r="L6" s="49" t="s">
        <v>412</v>
      </c>
      <c r="M6" s="49" t="s">
        <v>413</v>
      </c>
      <c r="N6" s="49" t="s">
        <v>412</v>
      </c>
      <c r="O6" s="49" t="s">
        <v>413</v>
      </c>
      <c r="P6" s="49" t="s">
        <v>412</v>
      </c>
      <c r="Q6" s="49" t="s">
        <v>413</v>
      </c>
      <c r="R6" s="49" t="s">
        <v>412</v>
      </c>
      <c r="S6" s="49" t="s">
        <v>413</v>
      </c>
      <c r="T6" s="49" t="s">
        <v>412</v>
      </c>
      <c r="U6" s="49" t="s">
        <v>413</v>
      </c>
      <c r="V6" s="49" t="s">
        <v>412</v>
      </c>
      <c r="W6" s="127"/>
      <c r="X6" s="128"/>
    </row>
    <row r="7" spans="1:24" ht="23.25" customHeight="1">
      <c r="A7" s="49"/>
      <c r="B7" s="133" t="s">
        <v>35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21" customHeight="1">
      <c r="A8" s="49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5" ht="92.25" customHeight="1">
      <c r="A9" s="49" t="s">
        <v>396</v>
      </c>
      <c r="B9" s="40" t="s">
        <v>36</v>
      </c>
      <c r="C9" s="49" t="s">
        <v>2</v>
      </c>
      <c r="D9" s="40">
        <v>97</v>
      </c>
      <c r="E9" s="40">
        <v>98.6</v>
      </c>
      <c r="F9" s="40">
        <v>99.8</v>
      </c>
      <c r="G9" s="40">
        <v>95.6</v>
      </c>
      <c r="H9" s="40"/>
      <c r="I9" s="40">
        <v>97</v>
      </c>
      <c r="J9" s="40"/>
      <c r="K9" s="40">
        <v>100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367</v>
      </c>
      <c r="X9" s="40"/>
      <c r="Y9" s="103" t="s">
        <v>448</v>
      </c>
    </row>
    <row r="10" spans="1:24" s="50" customFormat="1" ht="87" customHeight="1">
      <c r="A10" s="49" t="s">
        <v>397</v>
      </c>
      <c r="B10" s="40" t="s">
        <v>255</v>
      </c>
      <c r="C10" s="49" t="s">
        <v>2</v>
      </c>
      <c r="D10" s="40">
        <v>100</v>
      </c>
      <c r="E10" s="40">
        <v>100</v>
      </c>
      <c r="F10" s="40">
        <v>100</v>
      </c>
      <c r="G10" s="40">
        <v>100</v>
      </c>
      <c r="H10" s="40"/>
      <c r="I10" s="40">
        <v>100</v>
      </c>
      <c r="J10" s="40"/>
      <c r="K10" s="40">
        <v>100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368</v>
      </c>
      <c r="X10" s="40"/>
    </row>
    <row r="11" spans="1:24" ht="23.25" customHeight="1">
      <c r="A11" s="49" t="s">
        <v>419</v>
      </c>
      <c r="B11" s="133" t="s">
        <v>422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/>
    </row>
    <row r="12" spans="1:24" ht="23.25" customHeight="1">
      <c r="A12" s="49" t="s">
        <v>401</v>
      </c>
      <c r="B12" s="132" t="s">
        <v>238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1:24" ht="64.5" customHeight="1">
      <c r="A13" s="49" t="s">
        <v>415</v>
      </c>
      <c r="B13" s="25" t="s">
        <v>370</v>
      </c>
      <c r="C13" s="25" t="s">
        <v>39</v>
      </c>
      <c r="D13" s="25">
        <v>10</v>
      </c>
      <c r="E13" s="25">
        <v>17</v>
      </c>
      <c r="F13" s="25">
        <v>17</v>
      </c>
      <c r="G13" s="25">
        <v>0</v>
      </c>
      <c r="H13" s="25"/>
      <c r="I13" s="25">
        <v>0</v>
      </c>
      <c r="J13" s="25"/>
      <c r="K13" s="25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40" t="s">
        <v>367</v>
      </c>
      <c r="X13" s="40"/>
    </row>
    <row r="14" spans="1:24" s="50" customFormat="1" ht="84" customHeight="1">
      <c r="A14" s="49" t="s">
        <v>62</v>
      </c>
      <c r="B14" s="25" t="s">
        <v>369</v>
      </c>
      <c r="C14" s="25" t="s">
        <v>239</v>
      </c>
      <c r="D14" s="25">
        <v>0</v>
      </c>
      <c r="E14" s="25">
        <v>0</v>
      </c>
      <c r="F14" s="25"/>
      <c r="G14" s="25">
        <v>1</v>
      </c>
      <c r="H14" s="25"/>
      <c r="I14" s="25">
        <v>1</v>
      </c>
      <c r="J14" s="25"/>
      <c r="K14" s="25">
        <v>1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0" t="s">
        <v>368</v>
      </c>
      <c r="X14" s="40"/>
    </row>
    <row r="15" spans="1:24" s="50" customFormat="1" ht="67.5" customHeight="1">
      <c r="A15" s="49" t="s">
        <v>63</v>
      </c>
      <c r="B15" s="25" t="s">
        <v>371</v>
      </c>
      <c r="C15" s="25" t="s">
        <v>239</v>
      </c>
      <c r="D15" s="40">
        <v>0</v>
      </c>
      <c r="E15" s="40">
        <v>1</v>
      </c>
      <c r="F15" s="40"/>
      <c r="G15" s="40">
        <v>1</v>
      </c>
      <c r="H15" s="40"/>
      <c r="I15" s="40">
        <v>1</v>
      </c>
      <c r="J15" s="40"/>
      <c r="K15" s="40">
        <v>1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 t="s">
        <v>368</v>
      </c>
      <c r="X15" s="40"/>
    </row>
    <row r="16" ht="15">
      <c r="F16" s="51"/>
    </row>
    <row r="17" ht="15">
      <c r="F17" s="51"/>
    </row>
    <row r="18" ht="15">
      <c r="F18" s="51"/>
    </row>
    <row r="19" ht="15">
      <c r="F19" s="51"/>
    </row>
    <row r="20" ht="15">
      <c r="F20" s="51"/>
    </row>
    <row r="21" ht="15">
      <c r="F21" s="51"/>
    </row>
  </sheetData>
  <sheetProtection/>
  <mergeCells count="21">
    <mergeCell ref="E5:F5"/>
    <mergeCell ref="B12:X12"/>
    <mergeCell ref="X4:X6"/>
    <mergeCell ref="B8:X8"/>
    <mergeCell ref="B7:X7"/>
    <mergeCell ref="B11:X11"/>
    <mergeCell ref="M5:N5"/>
    <mergeCell ref="D4:V4"/>
    <mergeCell ref="G5:H5"/>
    <mergeCell ref="I5:J5"/>
    <mergeCell ref="B4:B6"/>
    <mergeCell ref="W1:X1"/>
    <mergeCell ref="O5:P5"/>
    <mergeCell ref="Q5:R5"/>
    <mergeCell ref="U5:V5"/>
    <mergeCell ref="S5:T5"/>
    <mergeCell ref="A4:A6"/>
    <mergeCell ref="A2:W2"/>
    <mergeCell ref="W4:W6"/>
    <mergeCell ref="C4:C6"/>
    <mergeCell ref="K5:L5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22"/>
  <sheetViews>
    <sheetView zoomScalePageLayoutView="0" workbookViewId="0" topLeftCell="A12">
      <selection activeCell="E15" sqref="B15:X19"/>
    </sheetView>
  </sheetViews>
  <sheetFormatPr defaultColWidth="9.140625" defaultRowHeight="15"/>
  <cols>
    <col min="2" max="2" width="28.421875" style="0" customWidth="1"/>
    <col min="4" max="4" width="13.57421875" style="0" bestFit="1" customWidth="1"/>
    <col min="7" max="7" width="9.57421875" style="0" bestFit="1" customWidth="1"/>
    <col min="13" max="22" width="0" style="0" hidden="1" customWidth="1"/>
    <col min="23" max="23" width="16.00390625" style="0" customWidth="1"/>
    <col min="24" max="24" width="20.7109375" style="0" customWidth="1"/>
  </cols>
  <sheetData>
    <row r="1" spans="1:24" ht="15.7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 t="s">
        <v>197</v>
      </c>
      <c r="V1" s="11"/>
      <c r="W1" s="267" t="s">
        <v>345</v>
      </c>
      <c r="X1" s="268"/>
    </row>
    <row r="2" spans="1:24" ht="24.75" customHeight="1">
      <c r="A2" s="148" t="s">
        <v>346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0"/>
    </row>
    <row r="3" ht="15">
      <c r="A3" s="1"/>
    </row>
    <row r="4" spans="1:24" ht="15">
      <c r="A4" s="117" t="s">
        <v>410</v>
      </c>
      <c r="B4" s="117" t="s">
        <v>421</v>
      </c>
      <c r="C4" s="117" t="s">
        <v>411</v>
      </c>
      <c r="D4" s="117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3" t="s">
        <v>414</v>
      </c>
      <c r="X4" s="117" t="s">
        <v>429</v>
      </c>
    </row>
    <row r="5" spans="1:24" ht="15">
      <c r="A5" s="117"/>
      <c r="B5" s="117"/>
      <c r="C5" s="117"/>
      <c r="D5" s="6">
        <v>2012</v>
      </c>
      <c r="E5" s="237">
        <v>2013</v>
      </c>
      <c r="F5" s="238"/>
      <c r="G5" s="235">
        <v>2014</v>
      </c>
      <c r="H5" s="235"/>
      <c r="I5" s="235">
        <v>2015</v>
      </c>
      <c r="J5" s="235"/>
      <c r="K5" s="235">
        <v>2016</v>
      </c>
      <c r="L5" s="235"/>
      <c r="M5" s="235">
        <v>2017</v>
      </c>
      <c r="N5" s="235"/>
      <c r="O5" s="235">
        <v>2018</v>
      </c>
      <c r="P5" s="235"/>
      <c r="Q5" s="235">
        <v>2019</v>
      </c>
      <c r="R5" s="235"/>
      <c r="S5" s="235">
        <v>2020</v>
      </c>
      <c r="T5" s="235"/>
      <c r="U5" s="235" t="s">
        <v>402</v>
      </c>
      <c r="V5" s="235"/>
      <c r="W5" s="114"/>
      <c r="X5" s="117"/>
    </row>
    <row r="6" spans="1:24" ht="15">
      <c r="A6" s="117"/>
      <c r="B6" s="117"/>
      <c r="C6" s="117"/>
      <c r="D6" s="6" t="s">
        <v>412</v>
      </c>
      <c r="E6" s="6" t="s">
        <v>413</v>
      </c>
      <c r="F6" s="6" t="s">
        <v>412</v>
      </c>
      <c r="G6" s="6" t="s">
        <v>413</v>
      </c>
      <c r="H6" s="6" t="s">
        <v>412</v>
      </c>
      <c r="I6" s="6" t="s">
        <v>413</v>
      </c>
      <c r="J6" s="6" t="s">
        <v>412</v>
      </c>
      <c r="K6" s="6" t="s">
        <v>413</v>
      </c>
      <c r="L6" s="6" t="s">
        <v>412</v>
      </c>
      <c r="M6" s="6" t="s">
        <v>413</v>
      </c>
      <c r="N6" s="6" t="s">
        <v>412</v>
      </c>
      <c r="O6" s="6" t="s">
        <v>413</v>
      </c>
      <c r="P6" s="6" t="s">
        <v>412</v>
      </c>
      <c r="Q6" s="6" t="s">
        <v>413</v>
      </c>
      <c r="R6" s="6" t="s">
        <v>412</v>
      </c>
      <c r="S6" s="6" t="s">
        <v>413</v>
      </c>
      <c r="T6" s="6" t="s">
        <v>412</v>
      </c>
      <c r="U6" s="6" t="s">
        <v>413</v>
      </c>
      <c r="V6" s="6" t="s">
        <v>412</v>
      </c>
      <c r="W6" s="239"/>
      <c r="X6" s="117"/>
    </row>
    <row r="7" spans="1:24" ht="15">
      <c r="A7" s="6"/>
      <c r="B7" s="232" t="s">
        <v>347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4"/>
    </row>
    <row r="8" spans="1:24" ht="15">
      <c r="A8" s="6" t="s">
        <v>418</v>
      </c>
      <c r="B8" s="232" t="s">
        <v>420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4"/>
    </row>
    <row r="9" spans="1:24" s="50" customFormat="1" ht="72.75" customHeight="1">
      <c r="A9" s="49" t="s">
        <v>396</v>
      </c>
      <c r="B9" s="40" t="s">
        <v>446</v>
      </c>
      <c r="C9" s="49" t="s">
        <v>2</v>
      </c>
      <c r="D9" s="40">
        <v>67.9</v>
      </c>
      <c r="E9" s="40">
        <v>85.7</v>
      </c>
      <c r="F9" s="40"/>
      <c r="G9" s="40">
        <v>88.1</v>
      </c>
      <c r="H9" s="40"/>
      <c r="I9" s="40">
        <v>98.7</v>
      </c>
      <c r="J9" s="40"/>
      <c r="K9" s="40">
        <v>100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243</v>
      </c>
      <c r="X9" s="40" t="s">
        <v>12</v>
      </c>
    </row>
    <row r="10" spans="1:24" s="50" customFormat="1" ht="63" customHeight="1">
      <c r="A10" s="49" t="s">
        <v>397</v>
      </c>
      <c r="B10" s="40" t="s">
        <v>80</v>
      </c>
      <c r="C10" s="49" t="s">
        <v>2</v>
      </c>
      <c r="D10" s="40">
        <v>51</v>
      </c>
      <c r="E10" s="40">
        <v>51</v>
      </c>
      <c r="F10" s="40"/>
      <c r="G10" s="40">
        <v>51</v>
      </c>
      <c r="H10" s="40"/>
      <c r="I10" s="40">
        <v>58.3</v>
      </c>
      <c r="J10" s="40"/>
      <c r="K10" s="40">
        <v>58.3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 t="s">
        <v>243</v>
      </c>
      <c r="X10" s="40" t="s">
        <v>12</v>
      </c>
    </row>
    <row r="11" spans="1:24" s="50" customFormat="1" ht="100.5" customHeight="1">
      <c r="A11" s="49" t="s">
        <v>424</v>
      </c>
      <c r="B11" s="40" t="s">
        <v>349</v>
      </c>
      <c r="C11" s="49" t="s">
        <v>2</v>
      </c>
      <c r="D11" s="40">
        <v>70</v>
      </c>
      <c r="E11" s="40">
        <v>73</v>
      </c>
      <c r="F11" s="40"/>
      <c r="G11" s="40">
        <v>73</v>
      </c>
      <c r="H11" s="40"/>
      <c r="I11" s="40">
        <v>73</v>
      </c>
      <c r="J11" s="40"/>
      <c r="K11" s="40">
        <v>75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368</v>
      </c>
      <c r="X11" s="40"/>
    </row>
    <row r="12" spans="1:24" s="50" customFormat="1" ht="72" customHeight="1">
      <c r="A12" s="49" t="s">
        <v>4</v>
      </c>
      <c r="B12" s="40" t="s">
        <v>348</v>
      </c>
      <c r="C12" s="49" t="s">
        <v>2</v>
      </c>
      <c r="D12" s="40">
        <v>69</v>
      </c>
      <c r="E12" s="40">
        <v>70</v>
      </c>
      <c r="F12" s="40"/>
      <c r="G12" s="40">
        <v>70</v>
      </c>
      <c r="H12" s="40"/>
      <c r="I12" s="40">
        <v>70</v>
      </c>
      <c r="J12" s="40"/>
      <c r="K12" s="40">
        <v>77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368</v>
      </c>
      <c r="X12" s="40"/>
    </row>
    <row r="13" spans="1:24" s="50" customFormat="1" ht="15">
      <c r="A13" s="49" t="s">
        <v>419</v>
      </c>
      <c r="B13" s="133" t="s">
        <v>422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5"/>
    </row>
    <row r="14" spans="1:24" s="50" customFormat="1" ht="24" customHeight="1">
      <c r="A14" s="49" t="s">
        <v>401</v>
      </c>
      <c r="B14" s="132" t="s">
        <v>113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1:24" s="50" customFormat="1" ht="63.75">
      <c r="A15" s="49" t="s">
        <v>415</v>
      </c>
      <c r="B15" s="25" t="s">
        <v>81</v>
      </c>
      <c r="C15" s="49" t="s">
        <v>2</v>
      </c>
      <c r="D15" s="25">
        <v>0</v>
      </c>
      <c r="E15" s="25">
        <v>0.4</v>
      </c>
      <c r="F15" s="25"/>
      <c r="G15" s="25">
        <v>37.7</v>
      </c>
      <c r="H15" s="25"/>
      <c r="I15" s="25">
        <v>100</v>
      </c>
      <c r="J15" s="25"/>
      <c r="K15" s="25">
        <v>100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40" t="s">
        <v>368</v>
      </c>
      <c r="X15" s="40" t="s">
        <v>12</v>
      </c>
    </row>
    <row r="16" spans="1:24" s="50" customFormat="1" ht="84.75" customHeight="1">
      <c r="A16" s="94" t="s">
        <v>416</v>
      </c>
      <c r="B16" s="25" t="s">
        <v>82</v>
      </c>
      <c r="C16" s="49" t="s">
        <v>2</v>
      </c>
      <c r="D16" s="25">
        <v>0</v>
      </c>
      <c r="E16" s="25">
        <v>12.4</v>
      </c>
      <c r="F16" s="25"/>
      <c r="G16" s="25">
        <v>74.7</v>
      </c>
      <c r="H16" s="25"/>
      <c r="I16" s="25">
        <v>100</v>
      </c>
      <c r="J16" s="25"/>
      <c r="K16" s="25">
        <v>100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40" t="s">
        <v>368</v>
      </c>
      <c r="X16" s="40" t="s">
        <v>12</v>
      </c>
    </row>
    <row r="17" spans="1:24" s="50" customFormat="1" ht="55.5" customHeight="1">
      <c r="A17" s="49" t="s">
        <v>62</v>
      </c>
      <c r="B17" s="25" t="s">
        <v>68</v>
      </c>
      <c r="C17" s="25" t="s">
        <v>39</v>
      </c>
      <c r="D17" s="40">
        <v>0</v>
      </c>
      <c r="E17" s="40">
        <v>92</v>
      </c>
      <c r="F17" s="40"/>
      <c r="G17" s="40">
        <v>75</v>
      </c>
      <c r="H17" s="40"/>
      <c r="I17" s="40">
        <v>320</v>
      </c>
      <c r="J17" s="40"/>
      <c r="K17" s="40">
        <v>39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243</v>
      </c>
      <c r="X17" s="40"/>
    </row>
    <row r="18" spans="2:24" s="50" customFormat="1" ht="21" customHeight="1">
      <c r="B18" s="132" t="s">
        <v>67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4" s="50" customFormat="1" ht="54.75" customHeight="1">
      <c r="A19" s="49" t="s">
        <v>401</v>
      </c>
      <c r="B19" s="40" t="s">
        <v>69</v>
      </c>
      <c r="C19" s="49" t="s">
        <v>2</v>
      </c>
      <c r="D19" s="40">
        <v>100</v>
      </c>
      <c r="E19" s="40">
        <v>100</v>
      </c>
      <c r="F19" s="40"/>
      <c r="G19" s="40">
        <v>100</v>
      </c>
      <c r="H19" s="40"/>
      <c r="I19" s="40">
        <v>100</v>
      </c>
      <c r="J19" s="40"/>
      <c r="K19" s="40">
        <v>100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 t="s">
        <v>368</v>
      </c>
      <c r="X19" s="40"/>
    </row>
    <row r="21" spans="4:9" ht="15" hidden="1">
      <c r="D21" s="47">
        <v>369881000</v>
      </c>
      <c r="E21" s="93">
        <f>14302800/D21*100</f>
        <v>3.8668652891064963</v>
      </c>
      <c r="G21" s="93">
        <f>'Пр 33'!I12/'Пр30 Показ 8'!D21*100</f>
        <v>48.12020622848971</v>
      </c>
      <c r="I21" s="93">
        <f>100-G21-E21</f>
        <v>48.012928482403794</v>
      </c>
    </row>
    <row r="22" spans="4:9" ht="15" hidden="1">
      <c r="D22" s="47">
        <v>197734490</v>
      </c>
      <c r="E22" s="93">
        <f>80711060/D22*100</f>
        <v>40.81789676651756</v>
      </c>
      <c r="G22" s="93">
        <f>'Пр 33'!I16/'Пр30 Показ 8'!D22*100</f>
        <v>69.07772345633785</v>
      </c>
      <c r="I22" s="93">
        <f>100-G22-E22</f>
        <v>-9.895620222855413</v>
      </c>
    </row>
  </sheetData>
  <sheetProtection/>
  <mergeCells count="22">
    <mergeCell ref="O5:P5"/>
    <mergeCell ref="U5:V5"/>
    <mergeCell ref="W4:W6"/>
    <mergeCell ref="G5:H5"/>
    <mergeCell ref="B7:X7"/>
    <mergeCell ref="B8:X8"/>
    <mergeCell ref="W1:X1"/>
    <mergeCell ref="A2:W2"/>
    <mergeCell ref="A4:A6"/>
    <mergeCell ref="B4:B6"/>
    <mergeCell ref="C4:C6"/>
    <mergeCell ref="D4:V4"/>
    <mergeCell ref="B18:X18"/>
    <mergeCell ref="S5:T5"/>
    <mergeCell ref="Q5:R5"/>
    <mergeCell ref="E5:F5"/>
    <mergeCell ref="I5:J5"/>
    <mergeCell ref="K5:L5"/>
    <mergeCell ref="M5:N5"/>
    <mergeCell ref="X4:X6"/>
    <mergeCell ref="B14:X14"/>
    <mergeCell ref="B13:X13"/>
  </mergeCells>
  <printOptions/>
  <pageMargins left="0.7" right="0.7" top="0.34" bottom="0.56" header="0.3" footer="0.58"/>
  <pageSetup fitToHeight="1" fitToWidth="1" horizontalDpi="600" verticalDpi="600" orientation="landscape" paperSize="9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4"/>
  <sheetViews>
    <sheetView zoomScalePageLayoutView="0" workbookViewId="0" topLeftCell="A1">
      <selection activeCell="Q20" sqref="Q20"/>
    </sheetView>
  </sheetViews>
  <sheetFormatPr defaultColWidth="9.140625" defaultRowHeight="15"/>
  <cols>
    <col min="1" max="1" width="19.7109375" style="0" customWidth="1"/>
    <col min="3" max="3" width="18.140625" style="0" customWidth="1"/>
    <col min="4" max="4" width="17.140625" style="0" customWidth="1"/>
    <col min="5" max="5" width="16.421875" style="0" customWidth="1"/>
    <col min="6" max="6" width="13.28125" style="0" customWidth="1"/>
    <col min="7" max="11" width="0" style="0" hidden="1" customWidth="1"/>
  </cols>
  <sheetData>
    <row r="1" spans="5:6" ht="28.5" customHeight="1">
      <c r="E1" s="201" t="s">
        <v>350</v>
      </c>
      <c r="F1" s="201"/>
    </row>
    <row r="3" spans="1:11" ht="27.75" customHeight="1">
      <c r="A3" s="148" t="s">
        <v>351</v>
      </c>
      <c r="B3" s="148"/>
      <c r="C3" s="148"/>
      <c r="D3" s="148"/>
      <c r="E3" s="148"/>
      <c r="F3" s="148"/>
      <c r="G3" s="148"/>
      <c r="H3" s="148"/>
      <c r="I3" s="148"/>
      <c r="J3" s="148"/>
      <c r="K3" s="15"/>
    </row>
    <row r="5" spans="1:11" ht="15">
      <c r="A5" s="144"/>
      <c r="B5" s="141"/>
      <c r="C5" s="202" t="s">
        <v>441</v>
      </c>
      <c r="D5" s="203"/>
      <c r="E5" s="203"/>
      <c r="F5" s="203"/>
      <c r="G5" s="203"/>
      <c r="H5" s="203"/>
      <c r="I5" s="203"/>
      <c r="J5" s="203"/>
      <c r="K5" s="204"/>
    </row>
    <row r="6" spans="1:11" ht="15">
      <c r="A6" s="145"/>
      <c r="B6" s="142"/>
      <c r="C6" s="23" t="s">
        <v>395</v>
      </c>
      <c r="D6" s="23">
        <v>2014</v>
      </c>
      <c r="E6" s="23">
        <v>2015</v>
      </c>
      <c r="F6" s="23">
        <v>2016</v>
      </c>
      <c r="G6" s="23">
        <v>2017</v>
      </c>
      <c r="H6" s="23">
        <v>2018</v>
      </c>
      <c r="I6" s="23">
        <v>2019</v>
      </c>
      <c r="J6" s="23">
        <v>2020</v>
      </c>
      <c r="K6" s="4" t="s">
        <v>402</v>
      </c>
    </row>
    <row r="7" spans="1:11" ht="15">
      <c r="A7" s="146"/>
      <c r="B7" s="143"/>
      <c r="C7" s="83" t="s">
        <v>440</v>
      </c>
      <c r="D7" s="83" t="s">
        <v>440</v>
      </c>
      <c r="E7" s="83" t="s">
        <v>440</v>
      </c>
      <c r="F7" s="83" t="s">
        <v>440</v>
      </c>
      <c r="G7" s="22" t="s">
        <v>440</v>
      </c>
      <c r="H7" s="22" t="s">
        <v>440</v>
      </c>
      <c r="I7" s="22" t="s">
        <v>440</v>
      </c>
      <c r="J7" s="22" t="s">
        <v>440</v>
      </c>
      <c r="K7" s="22" t="s">
        <v>440</v>
      </c>
    </row>
    <row r="8" spans="1:11" ht="21.75" customHeight="1">
      <c r="A8" s="140" t="s">
        <v>20</v>
      </c>
      <c r="B8" s="5" t="s">
        <v>395</v>
      </c>
      <c r="C8" s="110">
        <f>SUM(C9:C12)</f>
        <v>527269402.18</v>
      </c>
      <c r="D8" s="110">
        <f>SUM(D9:D12)</f>
        <v>350174793.18</v>
      </c>
      <c r="E8" s="110">
        <f>SUM(E9:E12)</f>
        <v>172912300</v>
      </c>
      <c r="F8" s="110">
        <f>SUM(F9:F12)</f>
        <v>4182309</v>
      </c>
      <c r="G8" s="3"/>
      <c r="H8" s="5"/>
      <c r="I8" s="5"/>
      <c r="J8" s="5"/>
      <c r="K8" s="5"/>
    </row>
    <row r="9" spans="1:11" ht="20.25" customHeight="1">
      <c r="A9" s="140"/>
      <c r="B9" s="3" t="s">
        <v>393</v>
      </c>
      <c r="C9" s="88">
        <f>SUM(D9:F9)</f>
        <v>324698518</v>
      </c>
      <c r="D9" s="88">
        <f aca="true" t="shared" si="0" ref="D9:F10">D14+D19</f>
        <v>196318309</v>
      </c>
      <c r="E9" s="88">
        <f t="shared" si="0"/>
        <v>124197900</v>
      </c>
      <c r="F9" s="88">
        <f t="shared" si="0"/>
        <v>4182309</v>
      </c>
      <c r="G9" s="3"/>
      <c r="H9" s="5"/>
      <c r="I9" s="5"/>
      <c r="J9" s="5"/>
      <c r="K9" s="5"/>
    </row>
    <row r="10" spans="1:11" ht="20.25" customHeight="1">
      <c r="A10" s="140"/>
      <c r="B10" s="3" t="s">
        <v>391</v>
      </c>
      <c r="C10" s="88">
        <f>SUM(D10:F10)</f>
        <v>48714400</v>
      </c>
      <c r="D10" s="88">
        <f t="shared" si="0"/>
        <v>0</v>
      </c>
      <c r="E10" s="88">
        <f t="shared" si="0"/>
        <v>48714400</v>
      </c>
      <c r="F10" s="88">
        <f t="shared" si="0"/>
        <v>0</v>
      </c>
      <c r="G10" s="3"/>
      <c r="H10" s="5"/>
      <c r="I10" s="5"/>
      <c r="J10" s="5"/>
      <c r="K10" s="5"/>
    </row>
    <row r="11" spans="1:11" ht="21.75" customHeight="1">
      <c r="A11" s="140"/>
      <c r="B11" s="3" t="s">
        <v>392</v>
      </c>
      <c r="C11" s="88">
        <f>SUM(D11:F11)</f>
        <v>153856484.18</v>
      </c>
      <c r="D11" s="88">
        <f aca="true" t="shared" si="1" ref="D11:F12">D16+D21</f>
        <v>153856484.18</v>
      </c>
      <c r="E11" s="88">
        <f t="shared" si="1"/>
        <v>0</v>
      </c>
      <c r="F11" s="88">
        <f t="shared" si="1"/>
        <v>0</v>
      </c>
      <c r="G11" s="3"/>
      <c r="H11" s="5"/>
      <c r="I11" s="5"/>
      <c r="J11" s="5"/>
      <c r="K11" s="5"/>
    </row>
    <row r="12" spans="1:11" ht="24" customHeight="1">
      <c r="A12" s="140"/>
      <c r="B12" s="3" t="s">
        <v>394</v>
      </c>
      <c r="C12" s="88">
        <f>SUM(D12:F12)</f>
        <v>0</v>
      </c>
      <c r="D12" s="88">
        <f t="shared" si="1"/>
        <v>0</v>
      </c>
      <c r="E12" s="88">
        <f t="shared" si="1"/>
        <v>0</v>
      </c>
      <c r="F12" s="88">
        <f t="shared" si="1"/>
        <v>0</v>
      </c>
      <c r="G12" s="3"/>
      <c r="H12" s="5"/>
      <c r="I12" s="5"/>
      <c r="J12" s="5"/>
      <c r="K12" s="5"/>
    </row>
    <row r="13" spans="1:11" ht="27.75" customHeight="1">
      <c r="A13" s="140" t="s">
        <v>11</v>
      </c>
      <c r="B13" s="5" t="s">
        <v>395</v>
      </c>
      <c r="C13" s="110">
        <f>SUM(C14:C17)</f>
        <v>39779118</v>
      </c>
      <c r="D13" s="110">
        <f>SUM(D14:D17)</f>
        <v>35596809</v>
      </c>
      <c r="E13" s="110">
        <f>SUM(E14:E17)</f>
        <v>0</v>
      </c>
      <c r="F13" s="110">
        <f>SUM(F14:F17)</f>
        <v>4182309</v>
      </c>
      <c r="G13" s="3"/>
      <c r="H13" s="5"/>
      <c r="I13" s="5"/>
      <c r="J13" s="5"/>
      <c r="K13" s="5"/>
    </row>
    <row r="14" spans="1:11" ht="19.5" customHeight="1">
      <c r="A14" s="140"/>
      <c r="B14" s="3" t="s">
        <v>393</v>
      </c>
      <c r="C14" s="88">
        <f>SUM(D14:F14)</f>
        <v>39779118</v>
      </c>
      <c r="D14" s="88">
        <f>'Пр32 ОМ8'!F28+'Пр32 ОМ8'!F32</f>
        <v>35596809</v>
      </c>
      <c r="E14" s="88">
        <f>'Пр32 ОМ8'!F29+'Пр32 ОМ8'!F33</f>
        <v>0</v>
      </c>
      <c r="F14" s="88">
        <f>'Пр32 ОМ8'!F34</f>
        <v>4182309</v>
      </c>
      <c r="G14" s="3"/>
      <c r="H14" s="5"/>
      <c r="I14" s="5"/>
      <c r="J14" s="5"/>
      <c r="K14" s="5"/>
    </row>
    <row r="15" spans="1:11" ht="22.5" customHeight="1">
      <c r="A15" s="140"/>
      <c r="B15" s="3" t="s">
        <v>391</v>
      </c>
      <c r="C15" s="88">
        <f>SUM(D15:F15)</f>
        <v>0</v>
      </c>
      <c r="D15" s="88">
        <f>'Пр32 ОМ8'!G32</f>
        <v>0</v>
      </c>
      <c r="E15" s="88">
        <f>'Пр32 ОМ8'!G33</f>
        <v>0</v>
      </c>
      <c r="F15" s="88">
        <f>'Пр32 ОМ8'!G34</f>
        <v>0</v>
      </c>
      <c r="G15" s="3"/>
      <c r="H15" s="5"/>
      <c r="I15" s="5"/>
      <c r="J15" s="5"/>
      <c r="K15" s="5"/>
    </row>
    <row r="16" spans="1:11" ht="19.5" customHeight="1">
      <c r="A16" s="140"/>
      <c r="B16" s="3" t="s">
        <v>392</v>
      </c>
      <c r="C16" s="88">
        <f>SUM(D16:F16)</f>
        <v>0</v>
      </c>
      <c r="D16" s="88">
        <f>'Пр32 ОМ8'!H32</f>
        <v>0</v>
      </c>
      <c r="E16" s="88">
        <f>'Пр32 ОМ8'!H33</f>
        <v>0</v>
      </c>
      <c r="F16" s="88">
        <f>'Пр32 ОМ8'!H34</f>
        <v>0</v>
      </c>
      <c r="G16" s="3"/>
      <c r="H16" s="5"/>
      <c r="I16" s="5"/>
      <c r="J16" s="5"/>
      <c r="K16" s="5"/>
    </row>
    <row r="17" spans="1:11" ht="23.25" customHeight="1">
      <c r="A17" s="140"/>
      <c r="B17" s="3" t="s">
        <v>394</v>
      </c>
      <c r="C17" s="88">
        <f>SUM(D17:F17)</f>
        <v>0</v>
      </c>
      <c r="D17" s="88">
        <f>'Пр32 ОМ8'!I32</f>
        <v>0</v>
      </c>
      <c r="E17" s="88">
        <f>'Пр32 ОМ8'!I33</f>
        <v>0</v>
      </c>
      <c r="F17" s="88">
        <f>'Пр32 ОМ8'!I34</f>
        <v>0</v>
      </c>
      <c r="G17" s="3"/>
      <c r="H17" s="5"/>
      <c r="I17" s="5"/>
      <c r="J17" s="5"/>
      <c r="K17" s="5"/>
    </row>
    <row r="18" spans="1:6" ht="21.75" customHeight="1">
      <c r="A18" s="140" t="s">
        <v>12</v>
      </c>
      <c r="B18" s="5" t="s">
        <v>395</v>
      </c>
      <c r="C18" s="110">
        <f>SUM(C19:C22)</f>
        <v>487490284.18</v>
      </c>
      <c r="D18" s="110">
        <f>SUM(D19:D22)</f>
        <v>314577984.18</v>
      </c>
      <c r="E18" s="110">
        <f>SUM(E19:E22)</f>
        <v>172912300</v>
      </c>
      <c r="F18" s="110">
        <f>SUM(F19:F22)</f>
        <v>0</v>
      </c>
    </row>
    <row r="19" spans="1:6" ht="22.5" customHeight="1">
      <c r="A19" s="140"/>
      <c r="B19" s="3" t="s">
        <v>393</v>
      </c>
      <c r="C19" s="88">
        <f>SUM(D19:F19)</f>
        <v>284919400</v>
      </c>
      <c r="D19" s="88">
        <f>'Пр32 ОМ8'!F20+'Пр32 ОМ8'!F24</f>
        <v>160721500</v>
      </c>
      <c r="E19" s="88">
        <f>'Пр32 ОМ8'!F21+'Пр32 ОМ8'!F25</f>
        <v>124197900</v>
      </c>
      <c r="F19" s="88">
        <v>0</v>
      </c>
    </row>
    <row r="20" spans="1:6" ht="18" customHeight="1">
      <c r="A20" s="140"/>
      <c r="B20" s="3" t="s">
        <v>391</v>
      </c>
      <c r="C20" s="88">
        <f>SUM(D20:F20)</f>
        <v>48714400</v>
      </c>
      <c r="D20" s="88">
        <f>'Пр32 ОМ8'!G20</f>
        <v>0</v>
      </c>
      <c r="E20" s="88">
        <f>'Пр32 ОМ8'!G21</f>
        <v>48714400</v>
      </c>
      <c r="F20" s="88">
        <f>'Пр32 ОМ8'!G22</f>
        <v>0</v>
      </c>
    </row>
    <row r="21" spans="1:6" ht="19.5" customHeight="1">
      <c r="A21" s="140"/>
      <c r="B21" s="3" t="s">
        <v>392</v>
      </c>
      <c r="C21" s="88">
        <f>SUM(D21:F21)</f>
        <v>153856484.18</v>
      </c>
      <c r="D21" s="88">
        <f>'Пр32 ОМ8'!H12</f>
        <v>153856484.18</v>
      </c>
      <c r="E21" s="88">
        <v>0</v>
      </c>
      <c r="F21" s="88">
        <v>0</v>
      </c>
    </row>
    <row r="22" spans="1:6" ht="30.75" customHeight="1">
      <c r="A22" s="140"/>
      <c r="B22" s="3" t="s">
        <v>394</v>
      </c>
      <c r="C22" s="88">
        <f>SUM(D22:F22)</f>
        <v>0</v>
      </c>
      <c r="D22" s="88">
        <v>0</v>
      </c>
      <c r="E22" s="88">
        <v>0</v>
      </c>
      <c r="F22" s="88">
        <v>0</v>
      </c>
    </row>
    <row r="23" spans="3:6" ht="15">
      <c r="C23" s="50"/>
      <c r="D23" s="50"/>
      <c r="E23" s="50"/>
      <c r="F23" s="50"/>
    </row>
    <row r="24" spans="3:6" ht="15">
      <c r="C24" s="50"/>
      <c r="D24" s="50"/>
      <c r="E24" s="50"/>
      <c r="F24" s="50"/>
    </row>
  </sheetData>
  <sheetProtection/>
  <mergeCells count="8">
    <mergeCell ref="A13:A17"/>
    <mergeCell ref="A18:A22"/>
    <mergeCell ref="E1:F1"/>
    <mergeCell ref="A3:J3"/>
    <mergeCell ref="A5:A7"/>
    <mergeCell ref="B5:B7"/>
    <mergeCell ref="C5:K5"/>
    <mergeCell ref="A8:A12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54"/>
  <sheetViews>
    <sheetView zoomScalePageLayoutView="0" workbookViewId="0" topLeftCell="A41">
      <selection activeCell="F48" sqref="F48"/>
    </sheetView>
  </sheetViews>
  <sheetFormatPr defaultColWidth="9.140625" defaultRowHeight="15"/>
  <cols>
    <col min="2" max="2" width="19.28125" style="0" customWidth="1"/>
    <col min="5" max="5" width="11.7109375" style="0" customWidth="1"/>
    <col min="6" max="6" width="13.28125" style="0" customWidth="1"/>
    <col min="7" max="7" width="13.00390625" style="0" customWidth="1"/>
    <col min="8" max="8" width="13.8515625" style="0" customWidth="1"/>
    <col min="9" max="9" width="12.00390625" style="0" customWidth="1"/>
    <col min="10" max="10" width="27.57421875" style="0" customWidth="1"/>
    <col min="11" max="11" width="17.421875" style="0" customWidth="1"/>
  </cols>
  <sheetData>
    <row r="1" spans="9:11" ht="15">
      <c r="I1" s="274" t="s">
        <v>352</v>
      </c>
      <c r="J1" s="274"/>
      <c r="K1" s="274"/>
    </row>
    <row r="2" ht="15.75">
      <c r="F2" s="12"/>
    </row>
    <row r="3" spans="1:11" ht="31.5" customHeight="1">
      <c r="A3" s="148" t="s">
        <v>78</v>
      </c>
      <c r="B3" s="148"/>
      <c r="C3" s="148"/>
      <c r="D3" s="148"/>
      <c r="E3" s="148"/>
      <c r="F3" s="148"/>
      <c r="G3" s="148"/>
      <c r="H3" s="148"/>
      <c r="I3" s="148"/>
      <c r="J3" s="148"/>
      <c r="K3" s="15"/>
    </row>
    <row r="4" spans="1:11" ht="15" hidden="1">
      <c r="A4" s="15"/>
      <c r="B4" s="15"/>
      <c r="C4" s="15"/>
      <c r="D4" s="15"/>
      <c r="E4" s="15"/>
      <c r="F4" s="39"/>
      <c r="G4" s="15"/>
      <c r="H4" s="15"/>
      <c r="I4" s="15"/>
      <c r="J4" s="15"/>
      <c r="K4" s="15"/>
    </row>
    <row r="5" spans="1:11" ht="15" hidden="1">
      <c r="A5" s="15"/>
      <c r="B5" s="15"/>
      <c r="C5" s="15"/>
      <c r="D5" s="15"/>
      <c r="E5" s="15"/>
      <c r="F5" s="39"/>
      <c r="G5" s="15"/>
      <c r="H5" s="15"/>
      <c r="I5" s="15"/>
      <c r="J5" s="15"/>
      <c r="K5" s="15"/>
    </row>
    <row r="6" spans="1:11" ht="15" hidden="1">
      <c r="A6" s="15"/>
      <c r="B6" s="15"/>
      <c r="C6" s="15"/>
      <c r="D6" s="15"/>
      <c r="E6" s="32">
        <f>E11-E31</f>
        <v>505286170.18</v>
      </c>
      <c r="F6" s="32"/>
      <c r="G6" s="32"/>
      <c r="H6" s="33"/>
      <c r="I6" s="33"/>
      <c r="J6" s="15"/>
      <c r="K6" s="15"/>
    </row>
    <row r="7" spans="1:11" ht="15" hidden="1">
      <c r="A7" s="15"/>
      <c r="B7" s="15"/>
      <c r="C7" s="15"/>
      <c r="D7" s="15"/>
      <c r="E7" s="15"/>
      <c r="F7" s="39"/>
      <c r="G7" s="15"/>
      <c r="H7" s="15"/>
      <c r="I7" s="15"/>
      <c r="J7" s="15"/>
      <c r="K7" s="15"/>
    </row>
    <row r="9" spans="1:11" ht="15">
      <c r="A9" s="241" t="s">
        <v>389</v>
      </c>
      <c r="B9" s="242" t="s">
        <v>437</v>
      </c>
      <c r="C9" s="242" t="s">
        <v>403</v>
      </c>
      <c r="D9" s="242" t="s">
        <v>442</v>
      </c>
      <c r="E9" s="242"/>
      <c r="F9" s="242"/>
      <c r="G9" s="242"/>
      <c r="H9" s="242"/>
      <c r="I9" s="242"/>
      <c r="J9" s="243" t="s">
        <v>417</v>
      </c>
      <c r="K9" s="243" t="s">
        <v>398</v>
      </c>
    </row>
    <row r="10" spans="1:11" ht="45.75" customHeight="1">
      <c r="A10" s="241"/>
      <c r="B10" s="242"/>
      <c r="C10" s="242"/>
      <c r="D10" s="2" t="s">
        <v>390</v>
      </c>
      <c r="E10" s="2" t="s">
        <v>395</v>
      </c>
      <c r="F10" s="2" t="s">
        <v>393</v>
      </c>
      <c r="G10" s="2" t="s">
        <v>391</v>
      </c>
      <c r="H10" s="2" t="s">
        <v>392</v>
      </c>
      <c r="I10" s="2" t="s">
        <v>394</v>
      </c>
      <c r="J10" s="244"/>
      <c r="K10" s="245"/>
    </row>
    <row r="11" spans="1:11" ht="15">
      <c r="A11" s="241"/>
      <c r="B11" s="246" t="s">
        <v>20</v>
      </c>
      <c r="C11" s="242" t="s">
        <v>43</v>
      </c>
      <c r="D11" s="2" t="s">
        <v>395</v>
      </c>
      <c r="E11" s="53">
        <f>SUM(E12:E14)</f>
        <v>527269402.18</v>
      </c>
      <c r="F11" s="53">
        <f>SUM(F12:F14)</f>
        <v>324698518</v>
      </c>
      <c r="G11" s="53">
        <f>SUM(G12:G14)</f>
        <v>48714400</v>
      </c>
      <c r="H11" s="53">
        <f>SUM(H12:H14)</f>
        <v>153856484.18</v>
      </c>
      <c r="I11" s="53">
        <f>SUM(I12:I14)</f>
        <v>0</v>
      </c>
      <c r="J11" s="243"/>
      <c r="K11" s="243"/>
    </row>
    <row r="12" spans="1:11" ht="15">
      <c r="A12" s="241"/>
      <c r="B12" s="246"/>
      <c r="C12" s="242"/>
      <c r="D12" s="2">
        <v>2014</v>
      </c>
      <c r="E12" s="54">
        <f>SUM(F12:I12)</f>
        <v>350174793.18</v>
      </c>
      <c r="F12" s="54">
        <f aca="true" t="shared" si="0" ref="F12:I14">F16+F32</f>
        <v>196318309</v>
      </c>
      <c r="G12" s="54">
        <f t="shared" si="0"/>
        <v>0</v>
      </c>
      <c r="H12" s="54">
        <f t="shared" si="0"/>
        <v>153856484.18</v>
      </c>
      <c r="I12" s="54">
        <f t="shared" si="0"/>
        <v>0</v>
      </c>
      <c r="J12" s="244"/>
      <c r="K12" s="244"/>
    </row>
    <row r="13" spans="1:11" ht="15">
      <c r="A13" s="241"/>
      <c r="B13" s="246"/>
      <c r="C13" s="242"/>
      <c r="D13" s="2">
        <v>2015</v>
      </c>
      <c r="E13" s="54">
        <f>SUM(F13:I13)</f>
        <v>172912300</v>
      </c>
      <c r="F13" s="54">
        <f t="shared" si="0"/>
        <v>124197900</v>
      </c>
      <c r="G13" s="54">
        <f t="shared" si="0"/>
        <v>48714400</v>
      </c>
      <c r="H13" s="54">
        <f t="shared" si="0"/>
        <v>0</v>
      </c>
      <c r="I13" s="54">
        <f t="shared" si="0"/>
        <v>0</v>
      </c>
      <c r="J13" s="244"/>
      <c r="K13" s="244"/>
    </row>
    <row r="14" spans="1:11" ht="21.75" customHeight="1">
      <c r="A14" s="241"/>
      <c r="B14" s="246"/>
      <c r="C14" s="242"/>
      <c r="D14" s="2">
        <v>2016</v>
      </c>
      <c r="E14" s="54">
        <f>SUM(F14:I14)</f>
        <v>4182309</v>
      </c>
      <c r="F14" s="54">
        <f t="shared" si="0"/>
        <v>4182309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244"/>
      <c r="K14" s="244"/>
    </row>
    <row r="15" spans="1:13" ht="26.25" customHeight="1">
      <c r="A15" s="241" t="s">
        <v>399</v>
      </c>
      <c r="B15" s="247" t="s">
        <v>87</v>
      </c>
      <c r="C15" s="242" t="s">
        <v>452</v>
      </c>
      <c r="D15" s="2" t="s">
        <v>395</v>
      </c>
      <c r="E15" s="31">
        <f>SUM(E16:E18)</f>
        <v>505286170.18</v>
      </c>
      <c r="F15" s="31">
        <f>SUM(F16:F18)</f>
        <v>302715286</v>
      </c>
      <c r="G15" s="31">
        <f>SUM(G16:G18)</f>
        <v>48714400</v>
      </c>
      <c r="H15" s="31">
        <f>SUM(H16:H18)</f>
        <v>153856484.18</v>
      </c>
      <c r="I15" s="31">
        <f>SUM(I16:I18)</f>
        <v>0</v>
      </c>
      <c r="J15" s="243"/>
      <c r="K15" s="243"/>
      <c r="M15" s="80"/>
    </row>
    <row r="16" spans="1:11" ht="15">
      <c r="A16" s="241"/>
      <c r="B16" s="247"/>
      <c r="C16" s="242"/>
      <c r="D16" s="2">
        <v>2014</v>
      </c>
      <c r="E16" s="30">
        <f>SUM(F16:I16)</f>
        <v>332373870.18</v>
      </c>
      <c r="F16" s="30">
        <f>F20+F24+F28</f>
        <v>178517386</v>
      </c>
      <c r="G16" s="30">
        <f>G20+G24+G28</f>
        <v>0</v>
      </c>
      <c r="H16" s="30">
        <f>H20+H24+H28</f>
        <v>153856484.18</v>
      </c>
      <c r="I16" s="30">
        <f>I20+I24</f>
        <v>0</v>
      </c>
      <c r="J16" s="244"/>
      <c r="K16" s="244"/>
    </row>
    <row r="17" spans="1:11" ht="15">
      <c r="A17" s="241"/>
      <c r="B17" s="247"/>
      <c r="C17" s="242"/>
      <c r="D17" s="2">
        <v>2015</v>
      </c>
      <c r="E17" s="30">
        <f>SUM(F17:I17)</f>
        <v>172912300</v>
      </c>
      <c r="F17" s="30">
        <f>F21+F25</f>
        <v>124197900</v>
      </c>
      <c r="G17" s="30">
        <f>G21+G25</f>
        <v>48714400</v>
      </c>
      <c r="H17" s="30">
        <f aca="true" t="shared" si="1" ref="F17:I18">H21+H25</f>
        <v>0</v>
      </c>
      <c r="I17" s="30">
        <f t="shared" si="1"/>
        <v>0</v>
      </c>
      <c r="J17" s="244"/>
      <c r="K17" s="244"/>
    </row>
    <row r="18" spans="1:11" ht="15">
      <c r="A18" s="241"/>
      <c r="B18" s="247"/>
      <c r="C18" s="242"/>
      <c r="D18" s="2">
        <v>2016</v>
      </c>
      <c r="E18" s="30">
        <f>SUM(F18:I18)</f>
        <v>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244"/>
      <c r="K18" s="244"/>
    </row>
    <row r="19" spans="1:11" ht="22.5" customHeight="1">
      <c r="A19" s="241" t="s">
        <v>396</v>
      </c>
      <c r="B19" s="247" t="s">
        <v>88</v>
      </c>
      <c r="C19" s="242" t="s">
        <v>452</v>
      </c>
      <c r="D19" s="2" t="s">
        <v>395</v>
      </c>
      <c r="E19" s="31">
        <f>SUM(E20:E22)</f>
        <v>302150200</v>
      </c>
      <c r="F19" s="53">
        <f>SUM(F20:F22)</f>
        <v>128685800</v>
      </c>
      <c r="G19" s="53">
        <f>SUM(G20:G22)</f>
        <v>48714400</v>
      </c>
      <c r="H19" s="53">
        <f>SUM(H20:H22)</f>
        <v>124750000</v>
      </c>
      <c r="I19" s="53">
        <f>SUM(I20:I22)</f>
        <v>0</v>
      </c>
      <c r="J19" s="150" t="s">
        <v>77</v>
      </c>
      <c r="K19" s="243" t="s">
        <v>12</v>
      </c>
    </row>
    <row r="20" spans="1:11" ht="22.5" customHeight="1">
      <c r="A20" s="241"/>
      <c r="B20" s="247"/>
      <c r="C20" s="242"/>
      <c r="D20" s="2">
        <v>2014</v>
      </c>
      <c r="E20" s="30">
        <f>SUM(F20:I20)</f>
        <v>177987500</v>
      </c>
      <c r="F20" s="54">
        <v>53237500</v>
      </c>
      <c r="G20" s="54">
        <v>0</v>
      </c>
      <c r="H20" s="54">
        <v>124750000</v>
      </c>
      <c r="I20" s="54">
        <v>0</v>
      </c>
      <c r="J20" s="151"/>
      <c r="K20" s="244"/>
    </row>
    <row r="21" spans="1:11" ht="22.5" customHeight="1">
      <c r="A21" s="241"/>
      <c r="B21" s="247"/>
      <c r="C21" s="242"/>
      <c r="D21" s="2">
        <v>2015</v>
      </c>
      <c r="E21" s="30">
        <f>SUM(F21:I21)</f>
        <v>124162700</v>
      </c>
      <c r="F21" s="54">
        <f>75448300</f>
        <v>75448300</v>
      </c>
      <c r="G21" s="54">
        <v>48714400</v>
      </c>
      <c r="H21" s="54">
        <v>0</v>
      </c>
      <c r="I21" s="54">
        <v>0</v>
      </c>
      <c r="J21" s="151"/>
      <c r="K21" s="244"/>
    </row>
    <row r="22" spans="1:11" ht="22.5" customHeight="1">
      <c r="A22" s="241"/>
      <c r="B22" s="247"/>
      <c r="C22" s="242"/>
      <c r="D22" s="2">
        <v>2016</v>
      </c>
      <c r="E22" s="30">
        <f>SUM(F22:I22)</f>
        <v>0</v>
      </c>
      <c r="F22" s="54">
        <v>0</v>
      </c>
      <c r="G22" s="54">
        <v>0</v>
      </c>
      <c r="H22" s="54">
        <v>0</v>
      </c>
      <c r="I22" s="54">
        <v>0</v>
      </c>
      <c r="J22" s="151"/>
      <c r="K22" s="244"/>
    </row>
    <row r="23" spans="1:11" ht="22.5" customHeight="1">
      <c r="A23" s="241" t="s">
        <v>397</v>
      </c>
      <c r="B23" s="247" t="s">
        <v>125</v>
      </c>
      <c r="C23" s="242" t="s">
        <v>452</v>
      </c>
      <c r="D23" s="2" t="s">
        <v>395</v>
      </c>
      <c r="E23" s="31">
        <f>SUM(E24:E26)</f>
        <v>185340084.18</v>
      </c>
      <c r="F23" s="53">
        <f>SUM(F24:F26)</f>
        <v>156233600</v>
      </c>
      <c r="G23" s="53">
        <f>SUM(G24:G26)</f>
        <v>0</v>
      </c>
      <c r="H23" s="53">
        <f>SUM(H24:H26)</f>
        <v>29106484.18</v>
      </c>
      <c r="I23" s="53">
        <f>SUM(I24:I26)</f>
        <v>0</v>
      </c>
      <c r="J23" s="150" t="s">
        <v>89</v>
      </c>
      <c r="K23" s="243" t="s">
        <v>12</v>
      </c>
    </row>
    <row r="24" spans="1:11" ht="22.5" customHeight="1">
      <c r="A24" s="241"/>
      <c r="B24" s="247"/>
      <c r="C24" s="242"/>
      <c r="D24" s="2">
        <v>2014</v>
      </c>
      <c r="E24" s="30">
        <f>SUM(F24:I24)</f>
        <v>136590484.18</v>
      </c>
      <c r="F24" s="54">
        <v>107484000</v>
      </c>
      <c r="G24" s="54">
        <v>0</v>
      </c>
      <c r="H24" s="54">
        <v>29106484.18</v>
      </c>
      <c r="I24" s="54">
        <v>0</v>
      </c>
      <c r="J24" s="151"/>
      <c r="K24" s="244"/>
    </row>
    <row r="25" spans="1:11" ht="22.5" customHeight="1">
      <c r="A25" s="241"/>
      <c r="B25" s="247"/>
      <c r="C25" s="242"/>
      <c r="D25" s="2">
        <v>2015</v>
      </c>
      <c r="E25" s="30">
        <f>SUM(F25:I25)</f>
        <v>48749600</v>
      </c>
      <c r="F25" s="54">
        <f>12135468+36614132</f>
        <v>48749600</v>
      </c>
      <c r="G25" s="54">
        <v>0</v>
      </c>
      <c r="H25" s="54">
        <v>0</v>
      </c>
      <c r="I25" s="54">
        <v>0</v>
      </c>
      <c r="J25" s="151"/>
      <c r="K25" s="244"/>
    </row>
    <row r="26" spans="1:11" ht="22.5" customHeight="1">
      <c r="A26" s="241"/>
      <c r="B26" s="247"/>
      <c r="C26" s="242"/>
      <c r="D26" s="2">
        <v>2016</v>
      </c>
      <c r="E26" s="30">
        <f>SUM(F26:I26)</f>
        <v>0</v>
      </c>
      <c r="F26" s="54">
        <v>0</v>
      </c>
      <c r="G26" s="54">
        <v>0</v>
      </c>
      <c r="H26" s="54">
        <v>0</v>
      </c>
      <c r="I26" s="54">
        <v>0</v>
      </c>
      <c r="J26" s="151"/>
      <c r="K26" s="244"/>
    </row>
    <row r="27" spans="1:11" ht="22.5" customHeight="1">
      <c r="A27" s="241" t="s">
        <v>424</v>
      </c>
      <c r="B27" s="247" t="s">
        <v>453</v>
      </c>
      <c r="C27" s="242" t="s">
        <v>452</v>
      </c>
      <c r="D27" s="2" t="s">
        <v>395</v>
      </c>
      <c r="E27" s="30">
        <f>SUM(E28:E30)</f>
        <v>17795886</v>
      </c>
      <c r="F27" s="54">
        <f>SUM(F28:F30)</f>
        <v>17795886</v>
      </c>
      <c r="G27" s="54">
        <f>SUM(G28:G30)</f>
        <v>0</v>
      </c>
      <c r="H27" s="54">
        <f>SUM(H28:H30)</f>
        <v>0</v>
      </c>
      <c r="I27" s="54">
        <f>SUM(I28:I30)</f>
        <v>0</v>
      </c>
      <c r="J27" s="150" t="s">
        <v>77</v>
      </c>
      <c r="K27" s="243"/>
    </row>
    <row r="28" spans="1:11" ht="22.5" customHeight="1">
      <c r="A28" s="241"/>
      <c r="B28" s="247"/>
      <c r="C28" s="242"/>
      <c r="D28" s="2">
        <v>2014</v>
      </c>
      <c r="E28" s="30">
        <f>SUM(F28:I28)</f>
        <v>17795886</v>
      </c>
      <c r="F28" s="54">
        <v>17795886</v>
      </c>
      <c r="G28" s="54"/>
      <c r="H28" s="54"/>
      <c r="I28" s="54"/>
      <c r="J28" s="151"/>
      <c r="K28" s="244"/>
    </row>
    <row r="29" spans="1:11" ht="22.5" customHeight="1">
      <c r="A29" s="241"/>
      <c r="B29" s="247"/>
      <c r="C29" s="242"/>
      <c r="D29" s="2">
        <v>2015</v>
      </c>
      <c r="E29" s="30">
        <f>SUM(F29:I29)</f>
        <v>0</v>
      </c>
      <c r="F29" s="54"/>
      <c r="G29" s="54"/>
      <c r="H29" s="54"/>
      <c r="I29" s="54"/>
      <c r="J29" s="151"/>
      <c r="K29" s="244"/>
    </row>
    <row r="30" spans="1:11" ht="30" customHeight="1">
      <c r="A30" s="241"/>
      <c r="B30" s="247"/>
      <c r="C30" s="242"/>
      <c r="D30" s="2">
        <v>2016</v>
      </c>
      <c r="E30" s="30"/>
      <c r="F30" s="54"/>
      <c r="G30" s="54"/>
      <c r="H30" s="54"/>
      <c r="I30" s="54"/>
      <c r="J30" s="151"/>
      <c r="K30" s="244"/>
    </row>
    <row r="31" spans="1:11" ht="26.25" customHeight="1">
      <c r="A31" s="241" t="s">
        <v>400</v>
      </c>
      <c r="B31" s="247" t="s">
        <v>454</v>
      </c>
      <c r="C31" s="242" t="s">
        <v>43</v>
      </c>
      <c r="D31" s="2" t="s">
        <v>395</v>
      </c>
      <c r="E31" s="31">
        <f>F31+G31+H31+I31</f>
        <v>21983232</v>
      </c>
      <c r="F31" s="53">
        <f>F32+F33+F34</f>
        <v>21983232</v>
      </c>
      <c r="G31" s="53">
        <f>G32+G33+G34</f>
        <v>0</v>
      </c>
      <c r="H31" s="53">
        <f>H32+H33+H34</f>
        <v>0</v>
      </c>
      <c r="I31" s="53">
        <f>I32+I33+I34</f>
        <v>0</v>
      </c>
      <c r="J31" s="150"/>
      <c r="K31" s="243"/>
    </row>
    <row r="32" spans="1:11" ht="15">
      <c r="A32" s="241"/>
      <c r="B32" s="247"/>
      <c r="C32" s="242"/>
      <c r="D32" s="2">
        <v>2014</v>
      </c>
      <c r="E32" s="30">
        <f>F32+G32+H32+I32</f>
        <v>17800923</v>
      </c>
      <c r="F32" s="54">
        <f>F36+F40+F44+F48+F52</f>
        <v>17800923</v>
      </c>
      <c r="G32" s="54">
        <f>G36+G40+G44+G48+G52</f>
        <v>0</v>
      </c>
      <c r="H32" s="54">
        <f>H36+H40+H44+H48+H52</f>
        <v>0</v>
      </c>
      <c r="I32" s="54">
        <f>I36+I40+I44+I48+I52</f>
        <v>0</v>
      </c>
      <c r="J32" s="151"/>
      <c r="K32" s="244"/>
    </row>
    <row r="33" spans="1:11" ht="15">
      <c r="A33" s="241"/>
      <c r="B33" s="247"/>
      <c r="C33" s="242"/>
      <c r="D33" s="2">
        <v>2015</v>
      </c>
      <c r="E33" s="30">
        <f>F33+G33+H33+I33</f>
        <v>0</v>
      </c>
      <c r="F33" s="54">
        <f aca="true" t="shared" si="2" ref="F33:I34">F37+F41+F45+F49+F53</f>
        <v>0</v>
      </c>
      <c r="G33" s="54">
        <f t="shared" si="2"/>
        <v>0</v>
      </c>
      <c r="H33" s="54">
        <f t="shared" si="2"/>
        <v>0</v>
      </c>
      <c r="I33" s="54">
        <f t="shared" si="2"/>
        <v>0</v>
      </c>
      <c r="J33" s="151"/>
      <c r="K33" s="244"/>
    </row>
    <row r="34" spans="1:11" ht="15">
      <c r="A34" s="241"/>
      <c r="B34" s="247"/>
      <c r="C34" s="242"/>
      <c r="D34" s="2">
        <v>2016</v>
      </c>
      <c r="E34" s="30">
        <f>F34+G34+H34+I34</f>
        <v>4182309</v>
      </c>
      <c r="F34" s="54">
        <f t="shared" si="2"/>
        <v>4182309</v>
      </c>
      <c r="G34" s="54">
        <f t="shared" si="2"/>
        <v>0</v>
      </c>
      <c r="H34" s="54">
        <f t="shared" si="2"/>
        <v>0</v>
      </c>
      <c r="I34" s="54">
        <f t="shared" si="2"/>
        <v>0</v>
      </c>
      <c r="J34" s="151"/>
      <c r="K34" s="244"/>
    </row>
    <row r="35" spans="1:11" ht="22.5" customHeight="1">
      <c r="A35" s="241" t="s">
        <v>401</v>
      </c>
      <c r="B35" s="247" t="s">
        <v>72</v>
      </c>
      <c r="C35" s="242" t="s">
        <v>43</v>
      </c>
      <c r="D35" s="2" t="s">
        <v>395</v>
      </c>
      <c r="E35" s="31">
        <f aca="true" t="shared" si="3" ref="E35:E46">F35+G35+H35+I35</f>
        <v>5372945</v>
      </c>
      <c r="F35" s="53">
        <f>F36+F37+F38</f>
        <v>5372945</v>
      </c>
      <c r="G35" s="31">
        <f>G36+G37+G38</f>
        <v>0</v>
      </c>
      <c r="H35" s="31">
        <f>H36+H37+H38</f>
        <v>0</v>
      </c>
      <c r="I35" s="31">
        <f>I36+I37+I38</f>
        <v>0</v>
      </c>
      <c r="J35" s="243" t="s">
        <v>127</v>
      </c>
      <c r="K35" s="243"/>
    </row>
    <row r="36" spans="1:11" ht="22.5" customHeight="1">
      <c r="A36" s="241"/>
      <c r="B36" s="247"/>
      <c r="C36" s="242"/>
      <c r="D36" s="2">
        <v>2014</v>
      </c>
      <c r="E36" s="30">
        <f t="shared" si="3"/>
        <v>4392545</v>
      </c>
      <c r="F36" s="54">
        <v>4392545</v>
      </c>
      <c r="G36" s="30">
        <f aca="true" t="shared" si="4" ref="F36:I37">H36+I36+J36+K36</f>
        <v>0</v>
      </c>
      <c r="H36" s="30">
        <f t="shared" si="4"/>
        <v>0</v>
      </c>
      <c r="I36" s="30">
        <f t="shared" si="4"/>
        <v>0</v>
      </c>
      <c r="J36" s="244"/>
      <c r="K36" s="244"/>
    </row>
    <row r="37" spans="1:11" ht="22.5" customHeight="1">
      <c r="A37" s="241"/>
      <c r="B37" s="247"/>
      <c r="C37" s="242"/>
      <c r="D37" s="2">
        <v>2015</v>
      </c>
      <c r="E37" s="30">
        <f t="shared" si="3"/>
        <v>0</v>
      </c>
      <c r="F37" s="54">
        <f t="shared" si="4"/>
        <v>0</v>
      </c>
      <c r="G37" s="30">
        <f t="shared" si="4"/>
        <v>0</v>
      </c>
      <c r="H37" s="30">
        <f t="shared" si="4"/>
        <v>0</v>
      </c>
      <c r="I37" s="30">
        <f t="shared" si="4"/>
        <v>0</v>
      </c>
      <c r="J37" s="244"/>
      <c r="K37" s="244"/>
    </row>
    <row r="38" spans="1:11" ht="22.5" customHeight="1">
      <c r="A38" s="241"/>
      <c r="B38" s="247"/>
      <c r="C38" s="242"/>
      <c r="D38" s="2">
        <v>2016</v>
      </c>
      <c r="E38" s="30">
        <f t="shared" si="3"/>
        <v>980400</v>
      </c>
      <c r="F38" s="54">
        <v>980400</v>
      </c>
      <c r="G38" s="30">
        <f>H38+I38+J38+K38</f>
        <v>0</v>
      </c>
      <c r="H38" s="30">
        <f>I38+J38+K38+L38</f>
        <v>0</v>
      </c>
      <c r="I38" s="30">
        <f>J38+K38+L38+M38</f>
        <v>0</v>
      </c>
      <c r="J38" s="244"/>
      <c r="K38" s="244"/>
    </row>
    <row r="39" spans="1:11" ht="32.25" customHeight="1">
      <c r="A39" s="241" t="s">
        <v>404</v>
      </c>
      <c r="B39" s="247" t="s">
        <v>73</v>
      </c>
      <c r="C39" s="242" t="s">
        <v>43</v>
      </c>
      <c r="D39" s="2" t="s">
        <v>395</v>
      </c>
      <c r="E39" s="31">
        <f t="shared" si="3"/>
        <v>10375761.75</v>
      </c>
      <c r="F39" s="53">
        <f>F40+F41+F42</f>
        <v>10375761.75</v>
      </c>
      <c r="G39" s="31">
        <f>G40+G41+G42</f>
        <v>0</v>
      </c>
      <c r="H39" s="31">
        <f>H40+H41+H42</f>
        <v>0</v>
      </c>
      <c r="I39" s="31">
        <f>I40+I41+I42</f>
        <v>0</v>
      </c>
      <c r="J39" s="243" t="s">
        <v>70</v>
      </c>
      <c r="K39" s="243"/>
    </row>
    <row r="40" spans="1:11" ht="33" customHeight="1">
      <c r="A40" s="241"/>
      <c r="B40" s="247"/>
      <c r="C40" s="242"/>
      <c r="D40" s="2">
        <v>2014</v>
      </c>
      <c r="E40" s="30">
        <f t="shared" si="3"/>
        <v>9875761.75</v>
      </c>
      <c r="F40" s="54">
        <v>9875761.75</v>
      </c>
      <c r="G40" s="30">
        <f aca="true" t="shared" si="5" ref="G40:I42">H40+I40+J40+K40</f>
        <v>0</v>
      </c>
      <c r="H40" s="30">
        <f t="shared" si="5"/>
        <v>0</v>
      </c>
      <c r="I40" s="30">
        <f t="shared" si="5"/>
        <v>0</v>
      </c>
      <c r="J40" s="244"/>
      <c r="K40" s="244"/>
    </row>
    <row r="41" spans="1:11" ht="29.25" customHeight="1">
      <c r="A41" s="241"/>
      <c r="B41" s="247"/>
      <c r="C41" s="242"/>
      <c r="D41" s="2">
        <v>2015</v>
      </c>
      <c r="E41" s="30">
        <f t="shared" si="3"/>
        <v>0</v>
      </c>
      <c r="F41" s="54">
        <v>0</v>
      </c>
      <c r="G41" s="30">
        <f t="shared" si="5"/>
        <v>0</v>
      </c>
      <c r="H41" s="30">
        <f t="shared" si="5"/>
        <v>0</v>
      </c>
      <c r="I41" s="30">
        <f t="shared" si="5"/>
        <v>0</v>
      </c>
      <c r="J41" s="244"/>
      <c r="K41" s="244"/>
    </row>
    <row r="42" spans="1:11" ht="34.5" customHeight="1">
      <c r="A42" s="241"/>
      <c r="B42" s="247"/>
      <c r="C42" s="242"/>
      <c r="D42" s="2">
        <v>2016</v>
      </c>
      <c r="E42" s="30">
        <f t="shared" si="3"/>
        <v>500000</v>
      </c>
      <c r="F42" s="54">
        <v>500000</v>
      </c>
      <c r="G42" s="30">
        <f t="shared" si="5"/>
        <v>0</v>
      </c>
      <c r="H42" s="30">
        <f t="shared" si="5"/>
        <v>0</v>
      </c>
      <c r="I42" s="30">
        <f t="shared" si="5"/>
        <v>0</v>
      </c>
      <c r="J42" s="244"/>
      <c r="K42" s="244"/>
    </row>
    <row r="43" spans="1:11" ht="22.5" customHeight="1">
      <c r="A43" s="248" t="s">
        <v>146</v>
      </c>
      <c r="B43" s="251" t="s">
        <v>74</v>
      </c>
      <c r="C43" s="248" t="s">
        <v>43</v>
      </c>
      <c r="D43" s="2" t="s">
        <v>395</v>
      </c>
      <c r="E43" s="31">
        <f t="shared" si="3"/>
        <v>500000</v>
      </c>
      <c r="F43" s="31">
        <f>F44+F45+F46</f>
        <v>500000</v>
      </c>
      <c r="G43" s="31">
        <f>G44+G45+G46</f>
        <v>0</v>
      </c>
      <c r="H43" s="31">
        <f>H44+H45+H46</f>
        <v>0</v>
      </c>
      <c r="I43" s="31">
        <f>I44+I45+I46</f>
        <v>0</v>
      </c>
      <c r="J43" s="272" t="s">
        <v>71</v>
      </c>
      <c r="K43" s="242"/>
    </row>
    <row r="44" spans="1:11" ht="23.25" customHeight="1">
      <c r="A44" s="249"/>
      <c r="B44" s="252"/>
      <c r="C44" s="249"/>
      <c r="D44" s="2">
        <v>2014</v>
      </c>
      <c r="E44" s="30">
        <f t="shared" si="3"/>
        <v>0</v>
      </c>
      <c r="F44" s="30">
        <v>0</v>
      </c>
      <c r="G44" s="30">
        <f aca="true" t="shared" si="6" ref="G44:I46">H44+I44+J44+K44</f>
        <v>0</v>
      </c>
      <c r="H44" s="30">
        <f t="shared" si="6"/>
        <v>0</v>
      </c>
      <c r="I44" s="30">
        <f t="shared" si="6"/>
        <v>0</v>
      </c>
      <c r="J44" s="273"/>
      <c r="K44" s="242"/>
    </row>
    <row r="45" spans="1:11" ht="27.75" customHeight="1">
      <c r="A45" s="249"/>
      <c r="B45" s="252"/>
      <c r="C45" s="249"/>
      <c r="D45" s="2">
        <v>2015</v>
      </c>
      <c r="E45" s="30">
        <f t="shared" si="3"/>
        <v>0</v>
      </c>
      <c r="F45" s="30">
        <v>0</v>
      </c>
      <c r="G45" s="30">
        <f t="shared" si="6"/>
        <v>0</v>
      </c>
      <c r="H45" s="30">
        <f t="shared" si="6"/>
        <v>0</v>
      </c>
      <c r="I45" s="30">
        <f t="shared" si="6"/>
        <v>0</v>
      </c>
      <c r="J45" s="273"/>
      <c r="K45" s="242"/>
    </row>
    <row r="46" spans="1:11" ht="26.25" customHeight="1">
      <c r="A46" s="250"/>
      <c r="B46" s="253"/>
      <c r="C46" s="250"/>
      <c r="D46" s="2">
        <v>2016</v>
      </c>
      <c r="E46" s="30">
        <f t="shared" si="3"/>
        <v>500000</v>
      </c>
      <c r="F46" s="30">
        <v>500000</v>
      </c>
      <c r="G46" s="30">
        <f t="shared" si="6"/>
        <v>0</v>
      </c>
      <c r="H46" s="30">
        <f t="shared" si="6"/>
        <v>0</v>
      </c>
      <c r="I46" s="30">
        <f t="shared" si="6"/>
        <v>0</v>
      </c>
      <c r="J46" s="273"/>
      <c r="K46" s="242"/>
    </row>
    <row r="47" spans="1:11" ht="26.25" customHeight="1">
      <c r="A47" s="248" t="s">
        <v>148</v>
      </c>
      <c r="B47" s="251" t="s">
        <v>75</v>
      </c>
      <c r="C47" s="248" t="s">
        <v>43</v>
      </c>
      <c r="D47" s="2" t="s">
        <v>395</v>
      </c>
      <c r="E47" s="30">
        <f>F47+G47+H47+I47</f>
        <v>5534525.25</v>
      </c>
      <c r="F47" s="30">
        <f>F48+F49+F50</f>
        <v>5534525.25</v>
      </c>
      <c r="G47" s="30">
        <f>G48+G49+G50</f>
        <v>0</v>
      </c>
      <c r="H47" s="30">
        <f>H48+H49+H50</f>
        <v>0</v>
      </c>
      <c r="I47" s="30">
        <f>I48+I49+I50</f>
        <v>0</v>
      </c>
      <c r="J47" s="272" t="s">
        <v>128</v>
      </c>
      <c r="K47" s="242"/>
    </row>
    <row r="48" spans="1:11" ht="26.25" customHeight="1">
      <c r="A48" s="249"/>
      <c r="B48" s="252"/>
      <c r="C48" s="249"/>
      <c r="D48" s="2">
        <v>2014</v>
      </c>
      <c r="E48" s="30">
        <f aca="true" t="shared" si="7" ref="E48:E54">F48+G48+H48+I48</f>
        <v>3532616.25</v>
      </c>
      <c r="F48" s="54">
        <v>3532616.25</v>
      </c>
      <c r="G48" s="30">
        <f aca="true" t="shared" si="8" ref="G48:I50">H48+I48+J48+K48</f>
        <v>0</v>
      </c>
      <c r="H48" s="30">
        <f t="shared" si="8"/>
        <v>0</v>
      </c>
      <c r="I48" s="30">
        <f t="shared" si="8"/>
        <v>0</v>
      </c>
      <c r="J48" s="273"/>
      <c r="K48" s="242"/>
    </row>
    <row r="49" spans="1:11" ht="18" customHeight="1">
      <c r="A49" s="249"/>
      <c r="B49" s="252"/>
      <c r="C49" s="249"/>
      <c r="D49" s="2">
        <v>2015</v>
      </c>
      <c r="E49" s="30">
        <f t="shared" si="7"/>
        <v>0</v>
      </c>
      <c r="F49" s="30">
        <v>0</v>
      </c>
      <c r="G49" s="30">
        <f t="shared" si="8"/>
        <v>0</v>
      </c>
      <c r="H49" s="30">
        <f t="shared" si="8"/>
        <v>0</v>
      </c>
      <c r="I49" s="30">
        <f t="shared" si="8"/>
        <v>0</v>
      </c>
      <c r="J49" s="273"/>
      <c r="K49" s="242"/>
    </row>
    <row r="50" spans="1:11" ht="24" customHeight="1">
      <c r="A50" s="250"/>
      <c r="B50" s="253"/>
      <c r="C50" s="250"/>
      <c r="D50" s="2">
        <v>2016</v>
      </c>
      <c r="E50" s="30">
        <f t="shared" si="7"/>
        <v>2001909</v>
      </c>
      <c r="F50" s="30">
        <v>2001909</v>
      </c>
      <c r="G50" s="30">
        <f t="shared" si="8"/>
        <v>0</v>
      </c>
      <c r="H50" s="30">
        <f t="shared" si="8"/>
        <v>0</v>
      </c>
      <c r="I50" s="30">
        <f t="shared" si="8"/>
        <v>0</v>
      </c>
      <c r="J50" s="273"/>
      <c r="K50" s="242"/>
    </row>
    <row r="51" spans="1:11" ht="24" customHeight="1">
      <c r="A51" s="248" t="s">
        <v>150</v>
      </c>
      <c r="B51" s="251" t="s">
        <v>76</v>
      </c>
      <c r="C51" s="248" t="s">
        <v>43</v>
      </c>
      <c r="D51" s="2" t="s">
        <v>395</v>
      </c>
      <c r="E51" s="30">
        <f t="shared" si="7"/>
        <v>200000</v>
      </c>
      <c r="F51" s="30">
        <f>F52+F53+F54</f>
        <v>200000</v>
      </c>
      <c r="G51" s="30">
        <f>G52+G53+G54</f>
        <v>0</v>
      </c>
      <c r="H51" s="30">
        <f>H52+H53+H54</f>
        <v>0</v>
      </c>
      <c r="I51" s="30">
        <f>I52+I53+I54</f>
        <v>0</v>
      </c>
      <c r="J51" s="269" t="s">
        <v>126</v>
      </c>
      <c r="K51" s="242"/>
    </row>
    <row r="52" spans="1:11" ht="24" customHeight="1">
      <c r="A52" s="249"/>
      <c r="B52" s="252"/>
      <c r="C52" s="249"/>
      <c r="D52" s="2">
        <v>2014</v>
      </c>
      <c r="E52" s="30">
        <f t="shared" si="7"/>
        <v>0</v>
      </c>
      <c r="F52" s="30">
        <v>0</v>
      </c>
      <c r="G52" s="30">
        <f aca="true" t="shared" si="9" ref="G52:I54">H52+I52+J52+K52</f>
        <v>0</v>
      </c>
      <c r="H52" s="30">
        <f t="shared" si="9"/>
        <v>0</v>
      </c>
      <c r="I52" s="30">
        <f t="shared" si="9"/>
        <v>0</v>
      </c>
      <c r="J52" s="270"/>
      <c r="K52" s="242"/>
    </row>
    <row r="53" spans="1:11" ht="26.25" customHeight="1">
      <c r="A53" s="249"/>
      <c r="B53" s="252"/>
      <c r="C53" s="249"/>
      <c r="D53" s="2">
        <v>2015</v>
      </c>
      <c r="E53" s="30">
        <f t="shared" si="7"/>
        <v>0</v>
      </c>
      <c r="F53" s="30">
        <v>0</v>
      </c>
      <c r="G53" s="30">
        <f t="shared" si="9"/>
        <v>0</v>
      </c>
      <c r="H53" s="30">
        <f t="shared" si="9"/>
        <v>0</v>
      </c>
      <c r="I53" s="30">
        <f t="shared" si="9"/>
        <v>0</v>
      </c>
      <c r="J53" s="270"/>
      <c r="K53" s="242"/>
    </row>
    <row r="54" spans="1:11" ht="26.25" customHeight="1">
      <c r="A54" s="250"/>
      <c r="B54" s="253"/>
      <c r="C54" s="250"/>
      <c r="D54" s="2">
        <v>2016</v>
      </c>
      <c r="E54" s="30">
        <f t="shared" si="7"/>
        <v>200000</v>
      </c>
      <c r="F54" s="30">
        <v>200000</v>
      </c>
      <c r="G54" s="30">
        <f t="shared" si="9"/>
        <v>0</v>
      </c>
      <c r="H54" s="30">
        <f t="shared" si="9"/>
        <v>0</v>
      </c>
      <c r="I54" s="30">
        <f t="shared" si="9"/>
        <v>0</v>
      </c>
      <c r="J54" s="271"/>
      <c r="K54" s="242"/>
    </row>
  </sheetData>
  <sheetProtection/>
  <mergeCells count="63">
    <mergeCell ref="K27:K30"/>
    <mergeCell ref="B15:B18"/>
    <mergeCell ref="C15:C18"/>
    <mergeCell ref="J15:J18"/>
    <mergeCell ref="C27:C30"/>
    <mergeCell ref="B27:B30"/>
    <mergeCell ref="C19:C22"/>
    <mergeCell ref="A27:A30"/>
    <mergeCell ref="J27:J30"/>
    <mergeCell ref="K23:K26"/>
    <mergeCell ref="K9:K10"/>
    <mergeCell ref="A11:A14"/>
    <mergeCell ref="B11:B14"/>
    <mergeCell ref="C11:C14"/>
    <mergeCell ref="K15:K18"/>
    <mergeCell ref="A19:A22"/>
    <mergeCell ref="B19:B22"/>
    <mergeCell ref="A15:A18"/>
    <mergeCell ref="J19:J22"/>
    <mergeCell ref="K19:K22"/>
    <mergeCell ref="K47:K50"/>
    <mergeCell ref="A39:A42"/>
    <mergeCell ref="B39:B42"/>
    <mergeCell ref="K35:K38"/>
    <mergeCell ref="C39:C42"/>
    <mergeCell ref="J39:J42"/>
    <mergeCell ref="K39:K42"/>
    <mergeCell ref="I1:K1"/>
    <mergeCell ref="A23:A26"/>
    <mergeCell ref="B23:B26"/>
    <mergeCell ref="C23:C26"/>
    <mergeCell ref="J23:J26"/>
    <mergeCell ref="A47:A50"/>
    <mergeCell ref="B47:B50"/>
    <mergeCell ref="C47:C50"/>
    <mergeCell ref="J47:J50"/>
    <mergeCell ref="K43:K46"/>
    <mergeCell ref="K51:K54"/>
    <mergeCell ref="A51:A54"/>
    <mergeCell ref="B51:B54"/>
    <mergeCell ref="C51:C54"/>
    <mergeCell ref="J51:J54"/>
    <mergeCell ref="K31:K34"/>
    <mergeCell ref="A43:A46"/>
    <mergeCell ref="B43:B46"/>
    <mergeCell ref="C43:C46"/>
    <mergeCell ref="J43:J46"/>
    <mergeCell ref="J11:J14"/>
    <mergeCell ref="A35:A38"/>
    <mergeCell ref="B35:B38"/>
    <mergeCell ref="C35:C38"/>
    <mergeCell ref="J35:J38"/>
    <mergeCell ref="K11:K14"/>
    <mergeCell ref="A31:A34"/>
    <mergeCell ref="B31:B34"/>
    <mergeCell ref="C31:C34"/>
    <mergeCell ref="J31:J34"/>
    <mergeCell ref="A3:J3"/>
    <mergeCell ref="A9:A10"/>
    <mergeCell ref="B9:B10"/>
    <mergeCell ref="C9:C10"/>
    <mergeCell ref="D9:I9"/>
    <mergeCell ref="J9:J10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8"/>
  <sheetViews>
    <sheetView zoomScaleSheetLayoutView="100" zoomScalePageLayoutView="0" workbookViewId="0" topLeftCell="E7">
      <selection activeCell="L23" sqref="L23"/>
    </sheetView>
  </sheetViews>
  <sheetFormatPr defaultColWidth="9.140625" defaultRowHeight="15"/>
  <cols>
    <col min="1" max="1" width="4.7109375" style="1" customWidth="1"/>
    <col min="2" max="2" width="25.140625" style="0" customWidth="1"/>
    <col min="3" max="7" width="15.7109375" style="0" customWidth="1"/>
    <col min="8" max="8" width="8.7109375" style="0" customWidth="1"/>
    <col min="9" max="9" width="13.00390625" style="0" customWidth="1"/>
    <col min="10" max="10" width="12.421875" style="0" customWidth="1"/>
    <col min="11" max="11" width="15.00390625" style="0" customWidth="1"/>
    <col min="12" max="12" width="14.140625" style="0" customWidth="1"/>
    <col min="13" max="13" width="7.8515625" style="0" customWidth="1"/>
  </cols>
  <sheetData>
    <row r="1" spans="9:13" s="50" customFormat="1" ht="15">
      <c r="I1" s="264" t="s">
        <v>86</v>
      </c>
      <c r="J1" s="264"/>
      <c r="K1" s="264"/>
      <c r="L1" s="264"/>
      <c r="M1" s="264"/>
    </row>
    <row r="2" s="50" customFormat="1" ht="15.75">
      <c r="F2" s="57"/>
    </row>
    <row r="3" spans="1:13" s="50" customFormat="1" ht="18.75" customHeight="1">
      <c r="A3" s="163" t="s">
        <v>79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ht="15">
      <c r="A4"/>
    </row>
    <row r="5" spans="1:13" ht="15" customHeight="1">
      <c r="A5" s="242" t="s">
        <v>408</v>
      </c>
      <c r="B5" s="242" t="s">
        <v>425</v>
      </c>
      <c r="C5" s="242" t="s">
        <v>405</v>
      </c>
      <c r="D5" s="242" t="s">
        <v>406</v>
      </c>
      <c r="E5" s="242" t="s">
        <v>407</v>
      </c>
      <c r="F5" s="242" t="s">
        <v>430</v>
      </c>
      <c r="G5" s="242" t="s">
        <v>85</v>
      </c>
      <c r="H5" s="242" t="s">
        <v>438</v>
      </c>
      <c r="I5" s="242"/>
      <c r="J5" s="242"/>
      <c r="K5" s="242"/>
      <c r="L5" s="242"/>
      <c r="M5" s="242"/>
    </row>
    <row r="6" spans="1:13" ht="15">
      <c r="A6" s="242"/>
      <c r="B6" s="242"/>
      <c r="C6" s="242"/>
      <c r="D6" s="242"/>
      <c r="E6" s="242"/>
      <c r="F6" s="242"/>
      <c r="G6" s="242"/>
      <c r="H6" s="2" t="s">
        <v>409</v>
      </c>
      <c r="I6" s="2" t="s">
        <v>395</v>
      </c>
      <c r="J6" s="2" t="s">
        <v>393</v>
      </c>
      <c r="K6" s="2" t="s">
        <v>391</v>
      </c>
      <c r="L6" s="2" t="s">
        <v>392</v>
      </c>
      <c r="M6" s="2" t="s">
        <v>394</v>
      </c>
    </row>
    <row r="7" spans="1:13" ht="25.5" customHeight="1">
      <c r="A7" s="242"/>
      <c r="B7" s="278" t="s">
        <v>20</v>
      </c>
      <c r="C7" s="275"/>
      <c r="D7" s="275"/>
      <c r="E7" s="275"/>
      <c r="F7" s="275"/>
      <c r="G7" s="275"/>
      <c r="H7" s="81" t="s">
        <v>395</v>
      </c>
      <c r="I7" s="82">
        <f>SUM(I8:I10)</f>
        <v>487490284.18</v>
      </c>
      <c r="J7" s="82">
        <f>SUM(J8:J10)</f>
        <v>284919400</v>
      </c>
      <c r="K7" s="82">
        <f>SUM(K8:K10)</f>
        <v>48714400</v>
      </c>
      <c r="L7" s="82">
        <f>SUM(L8:L10)</f>
        <v>153856484.18</v>
      </c>
      <c r="M7" s="82">
        <f>SUM(M8:M10)</f>
        <v>0</v>
      </c>
    </row>
    <row r="8" spans="1:13" ht="21.75" customHeight="1">
      <c r="A8" s="242"/>
      <c r="B8" s="278"/>
      <c r="C8" s="275"/>
      <c r="D8" s="275"/>
      <c r="E8" s="275"/>
      <c r="F8" s="275"/>
      <c r="G8" s="275"/>
      <c r="H8" s="2">
        <v>2014</v>
      </c>
      <c r="I8" s="42">
        <f>SUM(J8:M8)</f>
        <v>314577984.18</v>
      </c>
      <c r="J8" s="43">
        <f aca="true" t="shared" si="0" ref="J8:M10">J12+J16</f>
        <v>160721500</v>
      </c>
      <c r="K8" s="43">
        <f t="shared" si="0"/>
        <v>0</v>
      </c>
      <c r="L8" s="43">
        <f t="shared" si="0"/>
        <v>153856484.18</v>
      </c>
      <c r="M8" s="43">
        <f t="shared" si="0"/>
        <v>0</v>
      </c>
    </row>
    <row r="9" spans="1:13" ht="18.75" customHeight="1">
      <c r="A9" s="242"/>
      <c r="B9" s="278"/>
      <c r="C9" s="275"/>
      <c r="D9" s="275"/>
      <c r="E9" s="275"/>
      <c r="F9" s="275"/>
      <c r="G9" s="275"/>
      <c r="H9" s="2">
        <v>2015</v>
      </c>
      <c r="I9" s="42">
        <f>SUM(J9:M9)</f>
        <v>172912300</v>
      </c>
      <c r="J9" s="43">
        <f t="shared" si="0"/>
        <v>124197900</v>
      </c>
      <c r="K9" s="43">
        <f t="shared" si="0"/>
        <v>48714400</v>
      </c>
      <c r="L9" s="43">
        <f t="shared" si="0"/>
        <v>0</v>
      </c>
      <c r="M9" s="43">
        <f t="shared" si="0"/>
        <v>0</v>
      </c>
    </row>
    <row r="10" spans="1:13" ht="27" customHeight="1">
      <c r="A10" s="242"/>
      <c r="B10" s="278"/>
      <c r="C10" s="275"/>
      <c r="D10" s="275"/>
      <c r="E10" s="275"/>
      <c r="F10" s="275"/>
      <c r="G10" s="275"/>
      <c r="H10" s="2">
        <v>2016</v>
      </c>
      <c r="I10" s="42">
        <f>SUM(J10:M10)</f>
        <v>0</v>
      </c>
      <c r="J10" s="97">
        <f t="shared" si="0"/>
        <v>0</v>
      </c>
      <c r="K10" s="97">
        <f t="shared" si="0"/>
        <v>0</v>
      </c>
      <c r="L10" s="97">
        <f t="shared" si="0"/>
        <v>0</v>
      </c>
      <c r="M10" s="43">
        <f t="shared" si="0"/>
        <v>0</v>
      </c>
    </row>
    <row r="11" spans="1:13" s="50" customFormat="1" ht="22.5" customHeight="1">
      <c r="A11" s="149" t="s">
        <v>399</v>
      </c>
      <c r="B11" s="276" t="s">
        <v>83</v>
      </c>
      <c r="C11" s="277" t="s">
        <v>12</v>
      </c>
      <c r="D11" s="277"/>
      <c r="E11" s="277" t="s">
        <v>353</v>
      </c>
      <c r="F11" s="277" t="s">
        <v>354</v>
      </c>
      <c r="G11" s="279">
        <v>287839200</v>
      </c>
      <c r="H11" s="52" t="s">
        <v>395</v>
      </c>
      <c r="I11" s="95">
        <f>SUM(I12:I14)</f>
        <v>302150200</v>
      </c>
      <c r="J11" s="95">
        <f>SUM(J12:J14)</f>
        <v>128685800</v>
      </c>
      <c r="K11" s="95">
        <f>SUM(K12:K14)</f>
        <v>48714400</v>
      </c>
      <c r="L11" s="95">
        <f>SUM(L12:L14)</f>
        <v>124750000</v>
      </c>
      <c r="M11" s="95">
        <f>SUM(M12:M14)</f>
        <v>0</v>
      </c>
    </row>
    <row r="12" spans="1:13" s="50" customFormat="1" ht="24.75" customHeight="1">
      <c r="A12" s="149"/>
      <c r="B12" s="276"/>
      <c r="C12" s="277"/>
      <c r="D12" s="277"/>
      <c r="E12" s="277"/>
      <c r="F12" s="277"/>
      <c r="G12" s="279"/>
      <c r="H12" s="52">
        <v>2014</v>
      </c>
      <c r="I12" s="96">
        <f>SUM(J12:M12)</f>
        <v>177987500</v>
      </c>
      <c r="J12" s="97">
        <v>53237500</v>
      </c>
      <c r="K12" s="97">
        <v>0</v>
      </c>
      <c r="L12" s="97">
        <v>124750000</v>
      </c>
      <c r="M12" s="97">
        <v>0</v>
      </c>
    </row>
    <row r="13" spans="1:13" s="50" customFormat="1" ht="22.5" customHeight="1">
      <c r="A13" s="149"/>
      <c r="B13" s="276"/>
      <c r="C13" s="277"/>
      <c r="D13" s="277"/>
      <c r="E13" s="277"/>
      <c r="F13" s="277"/>
      <c r="G13" s="279"/>
      <c r="H13" s="52">
        <v>2015</v>
      </c>
      <c r="I13" s="96">
        <f>SUM(J13:M13)</f>
        <v>124162700</v>
      </c>
      <c r="J13" s="97">
        <v>75448300</v>
      </c>
      <c r="K13" s="97">
        <v>48714400</v>
      </c>
      <c r="L13" s="97">
        <v>0</v>
      </c>
      <c r="M13" s="97">
        <v>0</v>
      </c>
    </row>
    <row r="14" spans="1:13" s="50" customFormat="1" ht="45" customHeight="1">
      <c r="A14" s="149"/>
      <c r="B14" s="276"/>
      <c r="C14" s="277"/>
      <c r="D14" s="277"/>
      <c r="E14" s="277"/>
      <c r="F14" s="277"/>
      <c r="G14" s="279"/>
      <c r="H14" s="52">
        <v>2016</v>
      </c>
      <c r="I14" s="96">
        <f>SUM(J14:M14)</f>
        <v>0</v>
      </c>
      <c r="J14" s="97">
        <v>0</v>
      </c>
      <c r="K14" s="97">
        <v>0</v>
      </c>
      <c r="L14" s="97">
        <v>0</v>
      </c>
      <c r="M14" s="97">
        <v>0</v>
      </c>
    </row>
    <row r="15" spans="1:13" s="50" customFormat="1" ht="22.5" customHeight="1">
      <c r="A15" s="149" t="s">
        <v>400</v>
      </c>
      <c r="B15" s="276" t="s">
        <v>84</v>
      </c>
      <c r="C15" s="277" t="s">
        <v>12</v>
      </c>
      <c r="D15" s="277"/>
      <c r="E15" s="277"/>
      <c r="F15" s="277"/>
      <c r="G15" s="279">
        <v>197734490</v>
      </c>
      <c r="H15" s="52" t="s">
        <v>395</v>
      </c>
      <c r="I15" s="95">
        <f>SUM(I16:I18)</f>
        <v>185340084.18</v>
      </c>
      <c r="J15" s="95">
        <f>SUM(J16:J18)</f>
        <v>156233600</v>
      </c>
      <c r="K15" s="95">
        <f>SUM(K16:K18)</f>
        <v>0</v>
      </c>
      <c r="L15" s="95">
        <f>SUM(L16:L18)</f>
        <v>29106484.18</v>
      </c>
      <c r="M15" s="95">
        <f>SUM(M16:M18)</f>
        <v>0</v>
      </c>
    </row>
    <row r="16" spans="1:13" s="50" customFormat="1" ht="24.75" customHeight="1">
      <c r="A16" s="149"/>
      <c r="B16" s="276"/>
      <c r="C16" s="277"/>
      <c r="D16" s="277"/>
      <c r="E16" s="277"/>
      <c r="F16" s="277"/>
      <c r="G16" s="279"/>
      <c r="H16" s="52">
        <v>2014</v>
      </c>
      <c r="I16" s="96">
        <f>SUM(J16:M16)</f>
        <v>136590484.18</v>
      </c>
      <c r="J16" s="97">
        <v>107484000</v>
      </c>
      <c r="K16" s="97">
        <v>0</v>
      </c>
      <c r="L16" s="97">
        <v>29106484.18</v>
      </c>
      <c r="M16" s="97">
        <v>0</v>
      </c>
    </row>
    <row r="17" spans="1:13" s="50" customFormat="1" ht="22.5" customHeight="1">
      <c r="A17" s="149"/>
      <c r="B17" s="276"/>
      <c r="C17" s="277"/>
      <c r="D17" s="277"/>
      <c r="E17" s="277"/>
      <c r="F17" s="277"/>
      <c r="G17" s="279"/>
      <c r="H17" s="52">
        <v>2015</v>
      </c>
      <c r="I17" s="96">
        <f>SUM(J17:M17)</f>
        <v>48749600</v>
      </c>
      <c r="J17" s="97">
        <v>48749600</v>
      </c>
      <c r="K17" s="97">
        <v>0</v>
      </c>
      <c r="L17" s="97">
        <v>0</v>
      </c>
      <c r="M17" s="97">
        <v>0</v>
      </c>
    </row>
    <row r="18" spans="1:13" s="50" customFormat="1" ht="45" customHeight="1">
      <c r="A18" s="149"/>
      <c r="B18" s="276"/>
      <c r="C18" s="277"/>
      <c r="D18" s="277"/>
      <c r="E18" s="277"/>
      <c r="F18" s="277"/>
      <c r="G18" s="279"/>
      <c r="H18" s="52">
        <v>2016</v>
      </c>
      <c r="I18" s="96">
        <f>SUM(J18:M18)</f>
        <v>0</v>
      </c>
      <c r="J18" s="97">
        <v>0</v>
      </c>
      <c r="K18" s="97">
        <v>0</v>
      </c>
      <c r="L18" s="97">
        <v>0</v>
      </c>
      <c r="M18" s="97">
        <v>0</v>
      </c>
    </row>
  </sheetData>
  <sheetProtection/>
  <mergeCells count="31">
    <mergeCell ref="G7:G10"/>
    <mergeCell ref="B5:B6"/>
    <mergeCell ref="F5:F6"/>
    <mergeCell ref="A15:A18"/>
    <mergeCell ref="G11:G14"/>
    <mergeCell ref="C15:C18"/>
    <mergeCell ref="E15:E18"/>
    <mergeCell ref="G5:G6"/>
    <mergeCell ref="D5:D6"/>
    <mergeCell ref="F7:F10"/>
    <mergeCell ref="E7:E10"/>
    <mergeCell ref="C5:C6"/>
    <mergeCell ref="G15:G18"/>
    <mergeCell ref="I1:M1"/>
    <mergeCell ref="A11:A14"/>
    <mergeCell ref="B11:B14"/>
    <mergeCell ref="C11:C14"/>
    <mergeCell ref="D11:D14"/>
    <mergeCell ref="F11:F14"/>
    <mergeCell ref="H5:M5"/>
    <mergeCell ref="E11:E14"/>
    <mergeCell ref="C7:C10"/>
    <mergeCell ref="A7:A10"/>
    <mergeCell ref="A3:M3"/>
    <mergeCell ref="B15:B18"/>
    <mergeCell ref="A5:A6"/>
    <mergeCell ref="D15:D18"/>
    <mergeCell ref="E5:E6"/>
    <mergeCell ref="D7:D10"/>
    <mergeCell ref="F15:F18"/>
    <mergeCell ref="B7:B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7"/>
  <sheetViews>
    <sheetView zoomScale="115" zoomScaleNormal="115" zoomScaleSheetLayoutView="115" zoomScalePageLayoutView="0" workbookViewId="0" topLeftCell="A1">
      <selection activeCell="C5" sqref="C5:F17"/>
    </sheetView>
  </sheetViews>
  <sheetFormatPr defaultColWidth="9.140625" defaultRowHeight="15"/>
  <cols>
    <col min="1" max="1" width="35.57421875" style="0" customWidth="1"/>
    <col min="2" max="2" width="5.7109375" style="0" customWidth="1"/>
    <col min="3" max="3" width="14.57421875" style="0" customWidth="1"/>
    <col min="4" max="4" width="16.140625" style="0" customWidth="1"/>
    <col min="5" max="5" width="14.57421875" style="0" customWidth="1"/>
    <col min="6" max="6" width="14.421875" style="0" customWidth="1"/>
    <col min="7" max="11" width="7.8515625" style="0" hidden="1" customWidth="1"/>
  </cols>
  <sheetData>
    <row r="1" spans="5:12" ht="15.75">
      <c r="E1" s="139" t="s">
        <v>9</v>
      </c>
      <c r="F1" s="139"/>
      <c r="G1" s="41"/>
      <c r="H1" s="41"/>
      <c r="I1" s="41"/>
      <c r="J1" s="41"/>
      <c r="K1" s="41"/>
      <c r="L1" s="41"/>
    </row>
    <row r="2" ht="15.75">
      <c r="G2" s="12"/>
    </row>
    <row r="3" spans="1:12" ht="33" customHeight="1">
      <c r="A3" s="148" t="s">
        <v>365</v>
      </c>
      <c r="B3" s="148"/>
      <c r="C3" s="148"/>
      <c r="D3" s="148"/>
      <c r="E3" s="148"/>
      <c r="F3" s="148"/>
      <c r="G3" s="148"/>
      <c r="H3" s="148"/>
      <c r="I3" s="148"/>
      <c r="J3" s="148"/>
      <c r="K3" s="15"/>
      <c r="L3" s="15"/>
    </row>
    <row r="5" spans="1:12" ht="16.5" customHeight="1">
      <c r="A5" s="144"/>
      <c r="B5" s="141"/>
      <c r="C5" s="147" t="s">
        <v>441</v>
      </c>
      <c r="D5" s="147"/>
      <c r="E5" s="147"/>
      <c r="F5" s="147"/>
      <c r="G5" s="44"/>
      <c r="H5" s="44"/>
      <c r="I5" s="44"/>
      <c r="J5" s="44"/>
      <c r="K5" s="45"/>
      <c r="L5" s="16"/>
    </row>
    <row r="6" spans="1:12" ht="16.5" customHeight="1">
      <c r="A6" s="145"/>
      <c r="B6" s="142"/>
      <c r="C6" s="85" t="s">
        <v>395</v>
      </c>
      <c r="D6" s="85">
        <v>2014</v>
      </c>
      <c r="E6" s="85">
        <v>2015</v>
      </c>
      <c r="F6" s="85">
        <v>2016</v>
      </c>
      <c r="G6" s="4">
        <v>2017</v>
      </c>
      <c r="H6" s="4">
        <v>2018</v>
      </c>
      <c r="I6" s="4">
        <v>2019</v>
      </c>
      <c r="J6" s="4">
        <v>2020</v>
      </c>
      <c r="K6" s="4" t="s">
        <v>402</v>
      </c>
      <c r="L6" s="16"/>
    </row>
    <row r="7" spans="1:12" ht="16.5" customHeight="1">
      <c r="A7" s="146"/>
      <c r="B7" s="143"/>
      <c r="C7" s="83" t="s">
        <v>440</v>
      </c>
      <c r="D7" s="83" t="s">
        <v>440</v>
      </c>
      <c r="E7" s="83" t="s">
        <v>440</v>
      </c>
      <c r="F7" s="83" t="s">
        <v>440</v>
      </c>
      <c r="G7" s="22" t="s">
        <v>440</v>
      </c>
      <c r="H7" s="22" t="s">
        <v>440</v>
      </c>
      <c r="I7" s="22" t="s">
        <v>440</v>
      </c>
      <c r="J7" s="22" t="s">
        <v>440</v>
      </c>
      <c r="K7" s="22" t="s">
        <v>440</v>
      </c>
      <c r="L7" s="16"/>
    </row>
    <row r="8" spans="1:12" ht="16.5" customHeight="1">
      <c r="A8" s="140" t="s">
        <v>13</v>
      </c>
      <c r="B8" s="5" t="s">
        <v>395</v>
      </c>
      <c r="C8" s="109">
        <f>SUM(C9:C12)</f>
        <v>1616709064.03</v>
      </c>
      <c r="D8" s="109">
        <f>SUM(D9:D12)</f>
        <v>531093265.03</v>
      </c>
      <c r="E8" s="109">
        <f>SUM(E9:E12)</f>
        <v>535894701</v>
      </c>
      <c r="F8" s="109">
        <f>SUM(F9:F12)</f>
        <v>549721098</v>
      </c>
      <c r="G8" s="3"/>
      <c r="H8" s="5"/>
      <c r="I8" s="5"/>
      <c r="J8" s="5"/>
      <c r="K8" s="5"/>
      <c r="L8" s="17"/>
    </row>
    <row r="9" spans="1:12" ht="16.5" customHeight="1">
      <c r="A9" s="140"/>
      <c r="B9" s="3" t="s">
        <v>393</v>
      </c>
      <c r="C9" s="109">
        <f>SUM(D9:F9)</f>
        <v>552725932.03</v>
      </c>
      <c r="D9" s="88">
        <f aca="true" t="shared" si="0" ref="D9:F12">D14</f>
        <v>183246967.03</v>
      </c>
      <c r="E9" s="88">
        <f t="shared" si="0"/>
        <v>183131546</v>
      </c>
      <c r="F9" s="88">
        <f t="shared" si="0"/>
        <v>186347419</v>
      </c>
      <c r="G9" s="3"/>
      <c r="H9" s="5"/>
      <c r="I9" s="5"/>
      <c r="J9" s="5"/>
      <c r="K9" s="5"/>
      <c r="L9" s="17"/>
    </row>
    <row r="10" spans="1:12" ht="16.5" customHeight="1">
      <c r="A10" s="140"/>
      <c r="B10" s="3" t="s">
        <v>391</v>
      </c>
      <c r="C10" s="109">
        <f>SUM(D10:F10)</f>
        <v>928901232</v>
      </c>
      <c r="D10" s="88">
        <f t="shared" si="0"/>
        <v>302818998</v>
      </c>
      <c r="E10" s="88">
        <f t="shared" si="0"/>
        <v>307735855</v>
      </c>
      <c r="F10" s="88">
        <f t="shared" si="0"/>
        <v>318346379</v>
      </c>
      <c r="G10" s="3"/>
      <c r="H10" s="5"/>
      <c r="I10" s="5"/>
      <c r="J10" s="5"/>
      <c r="K10" s="5"/>
      <c r="L10" s="17"/>
    </row>
    <row r="11" spans="1:12" ht="16.5" customHeight="1">
      <c r="A11" s="140"/>
      <c r="B11" s="3" t="s">
        <v>392</v>
      </c>
      <c r="C11" s="109">
        <f>SUM(D11:F11)</f>
        <v>0</v>
      </c>
      <c r="D11" s="88">
        <f t="shared" si="0"/>
        <v>0</v>
      </c>
      <c r="E11" s="88">
        <f t="shared" si="0"/>
        <v>0</v>
      </c>
      <c r="F11" s="88">
        <f t="shared" si="0"/>
        <v>0</v>
      </c>
      <c r="G11" s="3"/>
      <c r="H11" s="5"/>
      <c r="I11" s="5"/>
      <c r="J11" s="5"/>
      <c r="K11" s="5"/>
      <c r="L11" s="17"/>
    </row>
    <row r="12" spans="1:12" ht="16.5" customHeight="1">
      <c r="A12" s="140"/>
      <c r="B12" s="3" t="s">
        <v>394</v>
      </c>
      <c r="C12" s="109">
        <f>SUM(D12:F12)</f>
        <v>135081900</v>
      </c>
      <c r="D12" s="88">
        <f t="shared" si="0"/>
        <v>45027300</v>
      </c>
      <c r="E12" s="88">
        <f t="shared" si="0"/>
        <v>45027300</v>
      </c>
      <c r="F12" s="88">
        <f t="shared" si="0"/>
        <v>45027300</v>
      </c>
      <c r="G12" s="3"/>
      <c r="H12" s="5"/>
      <c r="I12" s="5"/>
      <c r="J12" s="5"/>
      <c r="K12" s="5"/>
      <c r="L12" s="17"/>
    </row>
    <row r="13" spans="1:12" ht="16.5" customHeight="1">
      <c r="A13" s="140" t="s">
        <v>11</v>
      </c>
      <c r="B13" s="5" t="s">
        <v>395</v>
      </c>
      <c r="C13" s="109">
        <f>SUM(C14:C17)</f>
        <v>1616709064.03</v>
      </c>
      <c r="D13" s="109">
        <f>SUM(D14:D17)</f>
        <v>531093265.03</v>
      </c>
      <c r="E13" s="109">
        <f>SUM(E14:E17)</f>
        <v>535894701</v>
      </c>
      <c r="F13" s="109">
        <f>SUM(F14:F17)</f>
        <v>549721098</v>
      </c>
      <c r="G13" s="3"/>
      <c r="H13" s="5"/>
      <c r="I13" s="5"/>
      <c r="J13" s="5"/>
      <c r="K13" s="5"/>
      <c r="L13" s="17"/>
    </row>
    <row r="14" spans="1:12" ht="16.5" customHeight="1">
      <c r="A14" s="140"/>
      <c r="B14" s="3" t="s">
        <v>393</v>
      </c>
      <c r="C14" s="109">
        <f>SUM(D14:F14)</f>
        <v>552725932.03</v>
      </c>
      <c r="D14" s="88">
        <f>'Пр 5 ОМ 1'!F12</f>
        <v>183246967.03</v>
      </c>
      <c r="E14" s="88">
        <f>'Пр 5 ОМ 1'!F13</f>
        <v>183131546</v>
      </c>
      <c r="F14" s="88">
        <f>'Пр 5 ОМ 1'!F14</f>
        <v>186347419</v>
      </c>
      <c r="G14" s="3"/>
      <c r="H14" s="5"/>
      <c r="I14" s="5"/>
      <c r="J14" s="5"/>
      <c r="K14" s="5"/>
      <c r="L14" s="17"/>
    </row>
    <row r="15" spans="1:12" ht="16.5" customHeight="1">
      <c r="A15" s="140"/>
      <c r="B15" s="3" t="s">
        <v>391</v>
      </c>
      <c r="C15" s="109">
        <f>SUM(D15:F15)</f>
        <v>928901232</v>
      </c>
      <c r="D15" s="88">
        <f>'Пр 5 ОМ 1'!G12</f>
        <v>302818998</v>
      </c>
      <c r="E15" s="88">
        <f>'Пр 5 ОМ 1'!G13</f>
        <v>307735855</v>
      </c>
      <c r="F15" s="88">
        <f>'Пр 5 ОМ 1'!G14</f>
        <v>318346379</v>
      </c>
      <c r="G15" s="3"/>
      <c r="H15" s="5"/>
      <c r="I15" s="5"/>
      <c r="J15" s="5"/>
      <c r="K15" s="5"/>
      <c r="L15" s="17"/>
    </row>
    <row r="16" spans="1:12" ht="16.5" customHeight="1">
      <c r="A16" s="140"/>
      <c r="B16" s="3" t="s">
        <v>392</v>
      </c>
      <c r="C16" s="109">
        <f>SUM(D16:F16)</f>
        <v>0</v>
      </c>
      <c r="D16" s="88">
        <f>'Пр 5 ОМ 1'!H12</f>
        <v>0</v>
      </c>
      <c r="E16" s="88">
        <v>0</v>
      </c>
      <c r="F16" s="88">
        <v>0</v>
      </c>
      <c r="G16" s="3"/>
      <c r="H16" s="5"/>
      <c r="I16" s="5"/>
      <c r="J16" s="5"/>
      <c r="K16" s="5"/>
      <c r="L16" s="17"/>
    </row>
    <row r="17" spans="1:12" ht="16.5" customHeight="1">
      <c r="A17" s="140"/>
      <c r="B17" s="3" t="s">
        <v>394</v>
      </c>
      <c r="C17" s="109">
        <f>SUM(D17:F17)</f>
        <v>135081900</v>
      </c>
      <c r="D17" s="88">
        <f>'Пр 5 ОМ 1'!I12</f>
        <v>45027300</v>
      </c>
      <c r="E17" s="88">
        <f>'Пр 5 ОМ 1'!I13</f>
        <v>45027300</v>
      </c>
      <c r="F17" s="88">
        <f>'Пр 5 ОМ 1'!I14</f>
        <v>45027300</v>
      </c>
      <c r="G17" s="3"/>
      <c r="H17" s="5"/>
      <c r="I17" s="5"/>
      <c r="J17" s="5"/>
      <c r="K17" s="5"/>
      <c r="L17" s="17"/>
    </row>
    <row r="18" spans="1:12" ht="16.5" customHeight="1" hidden="1">
      <c r="A18" s="140" t="s">
        <v>423</v>
      </c>
      <c r="B18" s="5" t="s">
        <v>395</v>
      </c>
      <c r="C18" s="5"/>
      <c r="D18" s="3"/>
      <c r="E18" s="3"/>
      <c r="F18" s="3"/>
      <c r="G18" s="3"/>
      <c r="H18" s="5"/>
      <c r="I18" s="5"/>
      <c r="J18" s="5"/>
      <c r="K18" s="5"/>
      <c r="L18" s="17"/>
    </row>
    <row r="19" spans="1:12" ht="16.5" customHeight="1" hidden="1">
      <c r="A19" s="140"/>
      <c r="B19" s="3" t="s">
        <v>393</v>
      </c>
      <c r="C19" s="3"/>
      <c r="D19" s="3"/>
      <c r="E19" s="3"/>
      <c r="F19" s="3"/>
      <c r="G19" s="3"/>
      <c r="H19" s="5"/>
      <c r="I19" s="5"/>
      <c r="J19" s="5"/>
      <c r="K19" s="5"/>
      <c r="L19" s="17"/>
    </row>
    <row r="20" spans="1:12" ht="16.5" customHeight="1" hidden="1">
      <c r="A20" s="140"/>
      <c r="B20" s="3" t="s">
        <v>391</v>
      </c>
      <c r="C20" s="3"/>
      <c r="D20" s="3"/>
      <c r="E20" s="3"/>
      <c r="F20" s="3"/>
      <c r="G20" s="3"/>
      <c r="H20" s="5"/>
      <c r="I20" s="5"/>
      <c r="J20" s="5"/>
      <c r="K20" s="5"/>
      <c r="L20" s="17"/>
    </row>
    <row r="21" spans="1:12" ht="16.5" customHeight="1" hidden="1">
      <c r="A21" s="140"/>
      <c r="B21" s="3" t="s">
        <v>392</v>
      </c>
      <c r="C21" s="3"/>
      <c r="D21" s="3"/>
      <c r="E21" s="3"/>
      <c r="F21" s="3"/>
      <c r="G21" s="3"/>
      <c r="H21" s="5"/>
      <c r="I21" s="5"/>
      <c r="J21" s="5"/>
      <c r="K21" s="5"/>
      <c r="L21" s="17"/>
    </row>
    <row r="22" spans="1:12" ht="16.5" customHeight="1" hidden="1">
      <c r="A22" s="140"/>
      <c r="B22" s="3" t="s">
        <v>394</v>
      </c>
      <c r="C22" s="3"/>
      <c r="D22" s="3"/>
      <c r="E22" s="3"/>
      <c r="F22" s="3"/>
      <c r="G22" s="3"/>
      <c r="H22" s="5"/>
      <c r="I22" s="5"/>
      <c r="J22" s="5"/>
      <c r="K22" s="5"/>
      <c r="L22" s="17"/>
    </row>
    <row r="23" spans="1:12" ht="16.5" customHeight="1" hidden="1">
      <c r="A23" s="4" t="s">
        <v>402</v>
      </c>
      <c r="B23" s="3"/>
      <c r="C23" s="3"/>
      <c r="D23" s="3"/>
      <c r="E23" s="3"/>
      <c r="F23" s="3"/>
      <c r="G23" s="3"/>
      <c r="H23" s="5"/>
      <c r="I23" s="5"/>
      <c r="J23" s="5"/>
      <c r="K23" s="5"/>
      <c r="L23" s="17"/>
    </row>
    <row r="25" spans="3:4" ht="15">
      <c r="C25" s="47"/>
      <c r="D25" s="47"/>
    </row>
    <row r="26" spans="2:4" ht="15">
      <c r="B26" s="48"/>
      <c r="C26" s="47"/>
      <c r="D26" s="47"/>
    </row>
    <row r="27" spans="3:4" ht="15">
      <c r="C27" s="47"/>
      <c r="D27" s="47"/>
    </row>
  </sheetData>
  <sheetProtection/>
  <mergeCells count="8">
    <mergeCell ref="E1:F1"/>
    <mergeCell ref="A18:A22"/>
    <mergeCell ref="B5:B7"/>
    <mergeCell ref="A5:A7"/>
    <mergeCell ref="C5:F5"/>
    <mergeCell ref="A3:J3"/>
    <mergeCell ref="A8:A12"/>
    <mergeCell ref="A13:A17"/>
  </mergeCells>
  <printOptions/>
  <pageMargins left="0.39" right="0.24" top="0.34" bottom="0.36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50"/>
  <sheetViews>
    <sheetView zoomScale="115" zoomScaleNormal="115" zoomScaleSheetLayoutView="115" zoomScalePageLayoutView="0" workbookViewId="0" topLeftCell="B1">
      <selection activeCell="C9" sqref="C9:I56"/>
    </sheetView>
  </sheetViews>
  <sheetFormatPr defaultColWidth="9.140625" defaultRowHeight="15"/>
  <cols>
    <col min="1" max="1" width="5.57421875" style="70" customWidth="1"/>
    <col min="2" max="2" width="33.8515625" style="50" customWidth="1"/>
    <col min="3" max="3" width="9.140625" style="50" customWidth="1"/>
    <col min="4" max="4" width="9.140625" style="59" customWidth="1"/>
    <col min="5" max="5" width="12.8515625" style="50" customWidth="1"/>
    <col min="6" max="6" width="10.421875" style="50" customWidth="1"/>
    <col min="7" max="7" width="13.00390625" style="50" customWidth="1"/>
    <col min="8" max="8" width="10.421875" style="50" customWidth="1"/>
    <col min="9" max="9" width="12.28125" style="50" customWidth="1"/>
    <col min="10" max="10" width="20.57421875" style="50" customWidth="1"/>
    <col min="11" max="11" width="14.00390625" style="50" customWidth="1"/>
    <col min="12" max="16384" width="9.140625" style="50" customWidth="1"/>
  </cols>
  <sheetData>
    <row r="1" spans="1:9" ht="15">
      <c r="A1" s="50"/>
      <c r="D1" s="50"/>
      <c r="I1" s="63" t="s">
        <v>40</v>
      </c>
    </row>
    <row r="2" spans="1:6" ht="15.75">
      <c r="A2" s="50"/>
      <c r="D2" s="50"/>
      <c r="F2" s="57"/>
    </row>
    <row r="3" spans="1:12" ht="18.75" customHeight="1">
      <c r="A3" s="163" t="s">
        <v>41</v>
      </c>
      <c r="B3" s="163"/>
      <c r="C3" s="163"/>
      <c r="D3" s="163"/>
      <c r="E3" s="163"/>
      <c r="F3" s="163"/>
      <c r="G3" s="163"/>
      <c r="H3" s="163"/>
      <c r="I3" s="163"/>
      <c r="J3" s="163"/>
      <c r="K3" s="58"/>
      <c r="L3" s="58"/>
    </row>
    <row r="4" spans="1:12" ht="18.75" customHeight="1" hidden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 hidden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 hidden="1">
      <c r="A6" s="58"/>
      <c r="B6" s="58"/>
      <c r="C6" s="58"/>
      <c r="D6" s="58"/>
      <c r="E6" s="64">
        <f>E11-E15</f>
        <v>0</v>
      </c>
      <c r="F6" s="64">
        <f>F11-F15</f>
        <v>0</v>
      </c>
      <c r="G6" s="64">
        <f>G11-G15</f>
        <v>0</v>
      </c>
      <c r="H6" s="65">
        <f>H11-H15</f>
        <v>0</v>
      </c>
      <c r="I6" s="65">
        <f>I11-I15</f>
        <v>0</v>
      </c>
      <c r="J6" s="58"/>
      <c r="K6" s="58"/>
      <c r="L6" s="58"/>
    </row>
    <row r="7" spans="1:12" ht="18.75" customHeight="1" hidden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4" ht="15">
      <c r="A8" s="50"/>
      <c r="D8" s="50"/>
    </row>
    <row r="9" spans="1:11" ht="19.5" customHeight="1">
      <c r="A9" s="157" t="s">
        <v>389</v>
      </c>
      <c r="B9" s="149" t="s">
        <v>437</v>
      </c>
      <c r="C9" s="149" t="s">
        <v>403</v>
      </c>
      <c r="D9" s="149" t="s">
        <v>442</v>
      </c>
      <c r="E9" s="149"/>
      <c r="F9" s="149"/>
      <c r="G9" s="149"/>
      <c r="H9" s="149"/>
      <c r="I9" s="149"/>
      <c r="J9" s="150" t="s">
        <v>417</v>
      </c>
      <c r="K9" s="150" t="s">
        <v>398</v>
      </c>
    </row>
    <row r="10" spans="1:11" ht="21" customHeight="1">
      <c r="A10" s="157"/>
      <c r="B10" s="149"/>
      <c r="C10" s="149"/>
      <c r="D10" s="52" t="s">
        <v>390</v>
      </c>
      <c r="E10" s="52" t="s">
        <v>395</v>
      </c>
      <c r="F10" s="52" t="s">
        <v>393</v>
      </c>
      <c r="G10" s="52" t="s">
        <v>391</v>
      </c>
      <c r="H10" s="52" t="s">
        <v>392</v>
      </c>
      <c r="I10" s="52" t="s">
        <v>394</v>
      </c>
      <c r="J10" s="151"/>
      <c r="K10" s="162"/>
    </row>
    <row r="11" spans="1:11" ht="26.25" customHeight="1">
      <c r="A11" s="157"/>
      <c r="B11" s="164" t="s">
        <v>13</v>
      </c>
      <c r="C11" s="149" t="s">
        <v>43</v>
      </c>
      <c r="D11" s="52" t="s">
        <v>395</v>
      </c>
      <c r="E11" s="53">
        <f>SUM(E12:E14)</f>
        <v>1616709064.03</v>
      </c>
      <c r="F11" s="53">
        <f>SUM(F12:F14)</f>
        <v>552725932.03</v>
      </c>
      <c r="G11" s="53">
        <f>SUM(G12:G14)</f>
        <v>928901232</v>
      </c>
      <c r="H11" s="53">
        <f>SUM(H12:H14)</f>
        <v>0</v>
      </c>
      <c r="I11" s="53">
        <f>SUM(I12:I14)</f>
        <v>135081900</v>
      </c>
      <c r="J11" s="150"/>
      <c r="K11" s="150" t="s">
        <v>384</v>
      </c>
    </row>
    <row r="12" spans="1:11" ht="26.25" customHeight="1">
      <c r="A12" s="157"/>
      <c r="B12" s="164"/>
      <c r="C12" s="149"/>
      <c r="D12" s="52">
        <v>2014</v>
      </c>
      <c r="E12" s="53">
        <f>SUM(F12:I12)</f>
        <v>531093265.03</v>
      </c>
      <c r="F12" s="54">
        <f aca="true" t="shared" si="0" ref="F12:I14">F16</f>
        <v>183246967.03</v>
      </c>
      <c r="G12" s="54">
        <f t="shared" si="0"/>
        <v>302818998</v>
      </c>
      <c r="H12" s="54">
        <f t="shared" si="0"/>
        <v>0</v>
      </c>
      <c r="I12" s="54">
        <f t="shared" si="0"/>
        <v>45027300</v>
      </c>
      <c r="J12" s="151"/>
      <c r="K12" s="151"/>
    </row>
    <row r="13" spans="1:11" ht="26.25" customHeight="1">
      <c r="A13" s="157"/>
      <c r="B13" s="164"/>
      <c r="C13" s="149"/>
      <c r="D13" s="52">
        <v>2015</v>
      </c>
      <c r="E13" s="53">
        <f>SUM(F13:I13)</f>
        <v>535894701</v>
      </c>
      <c r="F13" s="54">
        <f t="shared" si="0"/>
        <v>183131546</v>
      </c>
      <c r="G13" s="54">
        <f t="shared" si="0"/>
        <v>307735855</v>
      </c>
      <c r="H13" s="54">
        <f t="shared" si="0"/>
        <v>0</v>
      </c>
      <c r="I13" s="54">
        <f t="shared" si="0"/>
        <v>45027300</v>
      </c>
      <c r="J13" s="151"/>
      <c r="K13" s="151"/>
    </row>
    <row r="14" spans="1:11" ht="26.25" customHeight="1">
      <c r="A14" s="157"/>
      <c r="B14" s="164"/>
      <c r="C14" s="149"/>
      <c r="D14" s="52">
        <v>2016</v>
      </c>
      <c r="E14" s="53">
        <f>SUM(F14:I14)</f>
        <v>549721098</v>
      </c>
      <c r="F14" s="54">
        <f t="shared" si="0"/>
        <v>186347419</v>
      </c>
      <c r="G14" s="54">
        <f t="shared" si="0"/>
        <v>318346379</v>
      </c>
      <c r="H14" s="54">
        <f t="shared" si="0"/>
        <v>0</v>
      </c>
      <c r="I14" s="54">
        <f t="shared" si="0"/>
        <v>45027300</v>
      </c>
      <c r="J14" s="151"/>
      <c r="K14" s="151"/>
    </row>
    <row r="15" spans="1:11" ht="21" customHeight="1">
      <c r="A15" s="157" t="s">
        <v>399</v>
      </c>
      <c r="B15" s="158" t="s">
        <v>238</v>
      </c>
      <c r="C15" s="149" t="s">
        <v>43</v>
      </c>
      <c r="D15" s="52" t="s">
        <v>395</v>
      </c>
      <c r="E15" s="53">
        <f>SUM(E16:E18)</f>
        <v>1616709064.03</v>
      </c>
      <c r="F15" s="53">
        <f>SUM(F16:F18)</f>
        <v>552725932.03</v>
      </c>
      <c r="G15" s="53">
        <f>SUM(G16:G18)</f>
        <v>928901232</v>
      </c>
      <c r="H15" s="53">
        <f>SUM(H16:H18)</f>
        <v>0</v>
      </c>
      <c r="I15" s="53">
        <f>SUM(I16:I18)</f>
        <v>135081900</v>
      </c>
      <c r="J15" s="150"/>
      <c r="K15" s="150" t="s">
        <v>384</v>
      </c>
    </row>
    <row r="16" spans="1:11" ht="21" customHeight="1">
      <c r="A16" s="157"/>
      <c r="B16" s="158"/>
      <c r="C16" s="149"/>
      <c r="D16" s="52">
        <v>2014</v>
      </c>
      <c r="E16" s="53">
        <f>SUM(F16:I16)</f>
        <v>531093265.03</v>
      </c>
      <c r="F16" s="54">
        <f>F20+F24+F28+F32+F36+F40+F44+F48</f>
        <v>183246967.03</v>
      </c>
      <c r="G16" s="54">
        <f>G20+G24+G28+G32+G36+G40+G44+G48</f>
        <v>302818998</v>
      </c>
      <c r="H16" s="54">
        <f>H20+H24+H28+H32+H36+H40+H44+H48</f>
        <v>0</v>
      </c>
      <c r="I16" s="54">
        <f>I20+I24+I28+I32+I36+I40+I44+I48</f>
        <v>45027300</v>
      </c>
      <c r="J16" s="151"/>
      <c r="K16" s="151"/>
    </row>
    <row r="17" spans="1:11" ht="21" customHeight="1">
      <c r="A17" s="157"/>
      <c r="B17" s="158"/>
      <c r="C17" s="149"/>
      <c r="D17" s="52">
        <v>2015</v>
      </c>
      <c r="E17" s="53">
        <f>SUM(F17:I17)</f>
        <v>535894701</v>
      </c>
      <c r="F17" s="54">
        <f>F21+F25+F29+F33+F37+F41+F45+F49</f>
        <v>183131546</v>
      </c>
      <c r="G17" s="54">
        <f aca="true" t="shared" si="1" ref="G17:I18">G21+G25+G29+G33+G37+G41+G45+G49</f>
        <v>307735855</v>
      </c>
      <c r="H17" s="54">
        <f t="shared" si="1"/>
        <v>0</v>
      </c>
      <c r="I17" s="54">
        <f t="shared" si="1"/>
        <v>45027300</v>
      </c>
      <c r="J17" s="151"/>
      <c r="K17" s="151"/>
    </row>
    <row r="18" spans="1:11" ht="21" customHeight="1">
      <c r="A18" s="157"/>
      <c r="B18" s="158"/>
      <c r="C18" s="149"/>
      <c r="D18" s="52">
        <v>2016</v>
      </c>
      <c r="E18" s="53">
        <f>SUM(F18:I18)</f>
        <v>549721098</v>
      </c>
      <c r="F18" s="54">
        <f>F22+F26+F30+F34+F38+F42+F46+F50</f>
        <v>186347419</v>
      </c>
      <c r="G18" s="54">
        <f t="shared" si="1"/>
        <v>318346379</v>
      </c>
      <c r="H18" s="54">
        <f t="shared" si="1"/>
        <v>0</v>
      </c>
      <c r="I18" s="54">
        <f t="shared" si="1"/>
        <v>45027300</v>
      </c>
      <c r="J18" s="151"/>
      <c r="K18" s="151"/>
    </row>
    <row r="19" spans="1:11" ht="25.5" customHeight="1">
      <c r="A19" s="157" t="s">
        <v>396</v>
      </c>
      <c r="B19" s="158" t="s">
        <v>378</v>
      </c>
      <c r="C19" s="149" t="s">
        <v>43</v>
      </c>
      <c r="D19" s="52" t="s">
        <v>395</v>
      </c>
      <c r="E19" s="53">
        <f aca="true" t="shared" si="2" ref="E19:E26">F19+G19+I19</f>
        <v>853092064</v>
      </c>
      <c r="F19" s="53">
        <f>F20+F21+F22</f>
        <v>0</v>
      </c>
      <c r="G19" s="53">
        <f>G20+G21+G22</f>
        <v>853092064</v>
      </c>
      <c r="H19" s="53">
        <v>0</v>
      </c>
      <c r="I19" s="53">
        <f>I20+I21+I22</f>
        <v>0</v>
      </c>
      <c r="J19" s="150" t="s">
        <v>372</v>
      </c>
      <c r="K19" s="150" t="s">
        <v>384</v>
      </c>
    </row>
    <row r="20" spans="1:11" ht="25.5" customHeight="1">
      <c r="A20" s="157"/>
      <c r="B20" s="158"/>
      <c r="C20" s="149"/>
      <c r="D20" s="52">
        <v>2014</v>
      </c>
      <c r="E20" s="54">
        <f t="shared" si="2"/>
        <v>277929502</v>
      </c>
      <c r="F20" s="54"/>
      <c r="G20" s="54">
        <f>269133200+889602+7906700</f>
        <v>277929502</v>
      </c>
      <c r="H20" s="54"/>
      <c r="I20" s="54"/>
      <c r="J20" s="151"/>
      <c r="K20" s="151"/>
    </row>
    <row r="21" spans="1:11" ht="25.5" customHeight="1">
      <c r="A21" s="157"/>
      <c r="B21" s="158"/>
      <c r="C21" s="149"/>
      <c r="D21" s="52">
        <v>2015</v>
      </c>
      <c r="E21" s="54">
        <f t="shared" si="2"/>
        <v>282350722</v>
      </c>
      <c r="F21" s="54"/>
      <c r="G21" s="54">
        <f>281425800+924922</f>
        <v>282350722</v>
      </c>
      <c r="H21" s="54"/>
      <c r="I21" s="54"/>
      <c r="J21" s="151"/>
      <c r="K21" s="151"/>
    </row>
    <row r="22" spans="1:11" ht="25.5" customHeight="1">
      <c r="A22" s="157"/>
      <c r="B22" s="158"/>
      <c r="C22" s="149"/>
      <c r="D22" s="52">
        <v>2016</v>
      </c>
      <c r="E22" s="54">
        <f t="shared" si="2"/>
        <v>292811840</v>
      </c>
      <c r="F22" s="54"/>
      <c r="G22" s="54">
        <f>291849900+961940</f>
        <v>292811840</v>
      </c>
      <c r="H22" s="54"/>
      <c r="I22" s="54"/>
      <c r="J22" s="151"/>
      <c r="K22" s="151"/>
    </row>
    <row r="23" spans="1:11" ht="21.75" customHeight="1">
      <c r="A23" s="157" t="s">
        <v>397</v>
      </c>
      <c r="B23" s="158" t="s">
        <v>374</v>
      </c>
      <c r="C23" s="157" t="s">
        <v>43</v>
      </c>
      <c r="D23" s="52" t="s">
        <v>395</v>
      </c>
      <c r="E23" s="53">
        <f t="shared" si="2"/>
        <v>627272792</v>
      </c>
      <c r="F23" s="53">
        <f>F24+F25+F26</f>
        <v>502242392</v>
      </c>
      <c r="G23" s="53">
        <f>G24+G25+G26</f>
        <v>0</v>
      </c>
      <c r="H23" s="53">
        <v>0</v>
      </c>
      <c r="I23" s="53">
        <f>I24+I25+I26</f>
        <v>125030400</v>
      </c>
      <c r="J23" s="150" t="s">
        <v>373</v>
      </c>
      <c r="K23" s="150" t="s">
        <v>384</v>
      </c>
    </row>
    <row r="24" spans="1:11" ht="21.75" customHeight="1">
      <c r="A24" s="157"/>
      <c r="B24" s="158"/>
      <c r="C24" s="157"/>
      <c r="D24" s="52">
        <v>2014</v>
      </c>
      <c r="E24" s="54">
        <f t="shared" si="2"/>
        <v>207603068</v>
      </c>
      <c r="F24" s="54">
        <f>150286453+15639815</f>
        <v>165926268</v>
      </c>
      <c r="G24" s="54">
        <v>0</v>
      </c>
      <c r="H24" s="54">
        <v>0</v>
      </c>
      <c r="I24" s="54">
        <v>41676800</v>
      </c>
      <c r="J24" s="151"/>
      <c r="K24" s="151"/>
    </row>
    <row r="25" spans="1:11" ht="21.75" customHeight="1">
      <c r="A25" s="157"/>
      <c r="B25" s="158"/>
      <c r="C25" s="157"/>
      <c r="D25" s="52">
        <v>2015</v>
      </c>
      <c r="E25" s="54">
        <f t="shared" si="2"/>
        <v>208060197</v>
      </c>
      <c r="F25" s="54">
        <f>440004171-281425800+7805026</f>
        <v>166383397</v>
      </c>
      <c r="G25" s="54">
        <v>0</v>
      </c>
      <c r="H25" s="54">
        <v>0</v>
      </c>
      <c r="I25" s="54">
        <v>41676800</v>
      </c>
      <c r="J25" s="151"/>
      <c r="K25" s="151"/>
    </row>
    <row r="26" spans="1:11" ht="21.75" customHeight="1">
      <c r="A26" s="157"/>
      <c r="B26" s="158"/>
      <c r="C26" s="157"/>
      <c r="D26" s="52">
        <v>2016</v>
      </c>
      <c r="E26" s="54">
        <f t="shared" si="2"/>
        <v>211609527</v>
      </c>
      <c r="F26" s="54">
        <f>453977601-291849900+7805026</f>
        <v>169932727</v>
      </c>
      <c r="G26" s="54">
        <v>0</v>
      </c>
      <c r="H26" s="54">
        <v>0</v>
      </c>
      <c r="I26" s="54">
        <v>41676800</v>
      </c>
      <c r="J26" s="151"/>
      <c r="K26" s="151"/>
    </row>
    <row r="27" spans="1:11" ht="22.5" customHeight="1">
      <c r="A27" s="154" t="s">
        <v>424</v>
      </c>
      <c r="B27" s="159" t="s">
        <v>42</v>
      </c>
      <c r="C27" s="154" t="s">
        <v>43</v>
      </c>
      <c r="D27" s="52" t="s">
        <v>395</v>
      </c>
      <c r="E27" s="53">
        <f aca="true" t="shared" si="3" ref="E27:E50">F27+G27+I27</f>
        <v>13093766</v>
      </c>
      <c r="F27" s="53">
        <f>F28+F29+F30</f>
        <v>0</v>
      </c>
      <c r="G27" s="53">
        <f>G28+G29+G30</f>
        <v>13093766</v>
      </c>
      <c r="H27" s="53">
        <v>0</v>
      </c>
      <c r="I27" s="53">
        <f>I28+I29+I30</f>
        <v>0</v>
      </c>
      <c r="J27" s="152" t="s">
        <v>375</v>
      </c>
      <c r="K27" s="150" t="s">
        <v>384</v>
      </c>
    </row>
    <row r="28" spans="1:11" ht="22.5" customHeight="1">
      <c r="A28" s="155"/>
      <c r="B28" s="160"/>
      <c r="C28" s="155"/>
      <c r="D28" s="52">
        <v>2014</v>
      </c>
      <c r="E28" s="54">
        <f t="shared" si="3"/>
        <v>4347200</v>
      </c>
      <c r="F28" s="54">
        <v>0</v>
      </c>
      <c r="G28" s="54">
        <v>4347200</v>
      </c>
      <c r="H28" s="54">
        <v>0</v>
      </c>
      <c r="I28" s="54">
        <v>0</v>
      </c>
      <c r="J28" s="153"/>
      <c r="K28" s="151"/>
    </row>
    <row r="29" spans="1:11" ht="22.5" customHeight="1">
      <c r="A29" s="155"/>
      <c r="B29" s="160"/>
      <c r="C29" s="155"/>
      <c r="D29" s="52">
        <v>2015</v>
      </c>
      <c r="E29" s="54">
        <f t="shared" si="3"/>
        <v>4373283</v>
      </c>
      <c r="F29" s="54">
        <v>0</v>
      </c>
      <c r="G29" s="54">
        <v>4373283</v>
      </c>
      <c r="H29" s="54">
        <v>0</v>
      </c>
      <c r="I29" s="54">
        <v>0</v>
      </c>
      <c r="J29" s="153"/>
      <c r="K29" s="151"/>
    </row>
    <row r="30" spans="1:11" ht="22.5" customHeight="1">
      <c r="A30" s="156"/>
      <c r="B30" s="161"/>
      <c r="C30" s="156"/>
      <c r="D30" s="52">
        <v>2016</v>
      </c>
      <c r="E30" s="54">
        <f t="shared" si="3"/>
        <v>4373283</v>
      </c>
      <c r="F30" s="54">
        <v>0</v>
      </c>
      <c r="G30" s="54">
        <v>4373283</v>
      </c>
      <c r="H30" s="54">
        <v>0</v>
      </c>
      <c r="I30" s="54">
        <v>0</v>
      </c>
      <c r="J30" s="153"/>
      <c r="K30" s="151"/>
    </row>
    <row r="31" spans="1:11" ht="29.25" customHeight="1">
      <c r="A31" s="154" t="s">
        <v>4</v>
      </c>
      <c r="B31" s="159" t="s">
        <v>377</v>
      </c>
      <c r="C31" s="154" t="s">
        <v>43</v>
      </c>
      <c r="D31" s="52" t="s">
        <v>395</v>
      </c>
      <c r="E31" s="53">
        <f t="shared" si="3"/>
        <v>50483540.03</v>
      </c>
      <c r="F31" s="53">
        <f>F32+F33+F34</f>
        <v>50483540.03</v>
      </c>
      <c r="G31" s="53">
        <f>G32+G33+G34</f>
        <v>0</v>
      </c>
      <c r="H31" s="53">
        <v>0</v>
      </c>
      <c r="I31" s="53">
        <f>I32+I33+I34</f>
        <v>0</v>
      </c>
      <c r="J31" s="149" t="s">
        <v>376</v>
      </c>
      <c r="K31" s="150" t="s">
        <v>384</v>
      </c>
    </row>
    <row r="32" spans="1:11" ht="24.75" customHeight="1">
      <c r="A32" s="155"/>
      <c r="B32" s="160"/>
      <c r="C32" s="155"/>
      <c r="D32" s="52">
        <v>2014</v>
      </c>
      <c r="E32" s="54">
        <f t="shared" si="3"/>
        <v>17320699.03</v>
      </c>
      <c r="F32" s="54">
        <f>17013127+75284+232288.03</f>
        <v>17320699.03</v>
      </c>
      <c r="G32" s="54">
        <v>0</v>
      </c>
      <c r="H32" s="54">
        <v>0</v>
      </c>
      <c r="I32" s="54">
        <v>0</v>
      </c>
      <c r="J32" s="165"/>
      <c r="K32" s="151"/>
    </row>
    <row r="33" spans="1:11" ht="24.75" customHeight="1">
      <c r="A33" s="155"/>
      <c r="B33" s="160"/>
      <c r="C33" s="155"/>
      <c r="D33" s="52">
        <v>2015</v>
      </c>
      <c r="E33" s="54">
        <f t="shared" si="3"/>
        <v>16748149</v>
      </c>
      <c r="F33" s="54">
        <f>16672865+75284</f>
        <v>16748149</v>
      </c>
      <c r="G33" s="54">
        <v>0</v>
      </c>
      <c r="H33" s="54">
        <v>0</v>
      </c>
      <c r="I33" s="54">
        <v>0</v>
      </c>
      <c r="J33" s="165"/>
      <c r="K33" s="151"/>
    </row>
    <row r="34" spans="1:11" ht="24.75" customHeight="1">
      <c r="A34" s="156"/>
      <c r="B34" s="161"/>
      <c r="C34" s="156"/>
      <c r="D34" s="52">
        <v>2016</v>
      </c>
      <c r="E34" s="54">
        <f t="shared" si="3"/>
        <v>16414692</v>
      </c>
      <c r="F34" s="54">
        <f>16339408+75284</f>
        <v>16414692</v>
      </c>
      <c r="G34" s="54">
        <v>0</v>
      </c>
      <c r="H34" s="54">
        <v>0</v>
      </c>
      <c r="I34" s="54">
        <v>0</v>
      </c>
      <c r="J34" s="165"/>
      <c r="K34" s="151"/>
    </row>
    <row r="35" spans="1:11" ht="25.5" customHeight="1">
      <c r="A35" s="154" t="s">
        <v>6</v>
      </c>
      <c r="B35" s="159" t="s">
        <v>379</v>
      </c>
      <c r="C35" s="154" t="s">
        <v>43</v>
      </c>
      <c r="D35" s="52" t="s">
        <v>395</v>
      </c>
      <c r="E35" s="53">
        <f t="shared" si="3"/>
        <v>1435900</v>
      </c>
      <c r="F35" s="53">
        <f>F36+F37+F38</f>
        <v>0</v>
      </c>
      <c r="G35" s="53">
        <f>G36+G37+G38</f>
        <v>1435900</v>
      </c>
      <c r="H35" s="53">
        <v>0</v>
      </c>
      <c r="I35" s="53">
        <f>I36+I37+I38</f>
        <v>0</v>
      </c>
      <c r="J35" s="149" t="s">
        <v>381</v>
      </c>
      <c r="K35" s="150" t="s">
        <v>384</v>
      </c>
    </row>
    <row r="36" spans="1:11" ht="25.5" customHeight="1">
      <c r="A36" s="155"/>
      <c r="B36" s="160"/>
      <c r="C36" s="155"/>
      <c r="D36" s="52">
        <v>2014</v>
      </c>
      <c r="E36" s="54">
        <f t="shared" si="3"/>
        <v>472400</v>
      </c>
      <c r="F36" s="54">
        <v>0</v>
      </c>
      <c r="G36" s="54">
        <v>472400</v>
      </c>
      <c r="H36" s="54">
        <v>0</v>
      </c>
      <c r="I36" s="54">
        <v>0</v>
      </c>
      <c r="J36" s="165"/>
      <c r="K36" s="151"/>
    </row>
    <row r="37" spans="1:11" ht="25.5" customHeight="1">
      <c r="A37" s="155"/>
      <c r="B37" s="160"/>
      <c r="C37" s="155"/>
      <c r="D37" s="52">
        <v>2015</v>
      </c>
      <c r="E37" s="54">
        <f t="shared" si="3"/>
        <v>481200</v>
      </c>
      <c r="F37" s="54">
        <v>0</v>
      </c>
      <c r="G37" s="54">
        <v>481200</v>
      </c>
      <c r="H37" s="54">
        <v>0</v>
      </c>
      <c r="I37" s="54">
        <v>0</v>
      </c>
      <c r="J37" s="165"/>
      <c r="K37" s="151"/>
    </row>
    <row r="38" spans="1:11" ht="25.5" customHeight="1">
      <c r="A38" s="156"/>
      <c r="B38" s="161"/>
      <c r="C38" s="156"/>
      <c r="D38" s="52">
        <v>2016</v>
      </c>
      <c r="E38" s="54">
        <f t="shared" si="3"/>
        <v>482300</v>
      </c>
      <c r="F38" s="54">
        <v>0</v>
      </c>
      <c r="G38" s="54">
        <v>482300</v>
      </c>
      <c r="H38" s="54">
        <v>0</v>
      </c>
      <c r="I38" s="54">
        <v>0</v>
      </c>
      <c r="J38" s="165"/>
      <c r="K38" s="151"/>
    </row>
    <row r="39" spans="1:11" ht="27" customHeight="1">
      <c r="A39" s="154" t="s">
        <v>38</v>
      </c>
      <c r="B39" s="159" t="s">
        <v>380</v>
      </c>
      <c r="C39" s="154" t="s">
        <v>43</v>
      </c>
      <c r="D39" s="52" t="s">
        <v>395</v>
      </c>
      <c r="E39" s="53">
        <f t="shared" si="3"/>
        <v>57436000</v>
      </c>
      <c r="F39" s="53">
        <f>F40+F41+F42</f>
        <v>0</v>
      </c>
      <c r="G39" s="53">
        <f>G40+G41+G42</f>
        <v>57436000</v>
      </c>
      <c r="H39" s="53">
        <v>0</v>
      </c>
      <c r="I39" s="53">
        <f>I40+I41+I42</f>
        <v>0</v>
      </c>
      <c r="J39" s="150" t="s">
        <v>382</v>
      </c>
      <c r="K39" s="150" t="s">
        <v>384</v>
      </c>
    </row>
    <row r="40" spans="1:11" ht="27" customHeight="1">
      <c r="A40" s="155"/>
      <c r="B40" s="160"/>
      <c r="C40" s="155"/>
      <c r="D40" s="52">
        <v>2014</v>
      </c>
      <c r="E40" s="54">
        <f t="shared" si="3"/>
        <v>18894800</v>
      </c>
      <c r="F40" s="54">
        <v>0</v>
      </c>
      <c r="G40" s="54">
        <v>18894800</v>
      </c>
      <c r="H40" s="54">
        <v>0</v>
      </c>
      <c r="I40" s="54">
        <v>0</v>
      </c>
      <c r="J40" s="155"/>
      <c r="K40" s="151"/>
    </row>
    <row r="41" spans="1:11" ht="27" customHeight="1">
      <c r="A41" s="155"/>
      <c r="B41" s="160"/>
      <c r="C41" s="155"/>
      <c r="D41" s="52">
        <v>2015</v>
      </c>
      <c r="E41" s="54">
        <f t="shared" si="3"/>
        <v>19248900</v>
      </c>
      <c r="F41" s="54">
        <v>0</v>
      </c>
      <c r="G41" s="54">
        <v>19248900</v>
      </c>
      <c r="H41" s="54">
        <v>0</v>
      </c>
      <c r="I41" s="54">
        <v>0</v>
      </c>
      <c r="J41" s="155"/>
      <c r="K41" s="151"/>
    </row>
    <row r="42" spans="1:11" ht="27" customHeight="1">
      <c r="A42" s="156"/>
      <c r="B42" s="161"/>
      <c r="C42" s="156"/>
      <c r="D42" s="52">
        <v>2016</v>
      </c>
      <c r="E42" s="54">
        <f t="shared" si="3"/>
        <v>19292300</v>
      </c>
      <c r="F42" s="54">
        <v>0</v>
      </c>
      <c r="G42" s="54">
        <v>19292300</v>
      </c>
      <c r="H42" s="54">
        <v>0</v>
      </c>
      <c r="I42" s="54">
        <v>0</v>
      </c>
      <c r="J42" s="155"/>
      <c r="K42" s="151"/>
    </row>
    <row r="43" spans="1:11" ht="27" customHeight="1">
      <c r="A43" s="154" t="s">
        <v>44</v>
      </c>
      <c r="B43" s="159" t="s">
        <v>120</v>
      </c>
      <c r="C43" s="154" t="s">
        <v>43</v>
      </c>
      <c r="D43" s="52" t="s">
        <v>395</v>
      </c>
      <c r="E43" s="53">
        <f>F43+G43+I43</f>
        <v>3843502</v>
      </c>
      <c r="F43" s="53">
        <f>F44+F45+F46</f>
        <v>0</v>
      </c>
      <c r="G43" s="53">
        <f>G44+G45+G46</f>
        <v>3843502</v>
      </c>
      <c r="H43" s="53">
        <v>0</v>
      </c>
      <c r="I43" s="53">
        <f>I44+I45+I46</f>
        <v>0</v>
      </c>
      <c r="J43" s="150" t="s">
        <v>300</v>
      </c>
      <c r="K43" s="150"/>
    </row>
    <row r="44" spans="1:11" ht="27" customHeight="1">
      <c r="A44" s="155"/>
      <c r="B44" s="160"/>
      <c r="C44" s="155"/>
      <c r="D44" s="52">
        <v>2014</v>
      </c>
      <c r="E44" s="54">
        <f>F44+G44+I44</f>
        <v>1175096</v>
      </c>
      <c r="F44" s="54">
        <v>0</v>
      </c>
      <c r="G44" s="54">
        <f>1172066+3030</f>
        <v>1175096</v>
      </c>
      <c r="H44" s="54">
        <v>0</v>
      </c>
      <c r="I44" s="54">
        <v>0</v>
      </c>
      <c r="J44" s="155"/>
      <c r="K44" s="151"/>
    </row>
    <row r="45" spans="1:11" ht="27" customHeight="1">
      <c r="A45" s="155"/>
      <c r="B45" s="160"/>
      <c r="C45" s="155"/>
      <c r="D45" s="52">
        <v>2015</v>
      </c>
      <c r="E45" s="54">
        <f>F45+G45+I45</f>
        <v>1281750</v>
      </c>
      <c r="F45" s="54">
        <v>0</v>
      </c>
      <c r="G45" s="54">
        <f>1278720+3030</f>
        <v>1281750</v>
      </c>
      <c r="H45" s="54">
        <v>0</v>
      </c>
      <c r="I45" s="54">
        <v>0</v>
      </c>
      <c r="J45" s="155"/>
      <c r="K45" s="151"/>
    </row>
    <row r="46" spans="1:11" ht="27" customHeight="1">
      <c r="A46" s="156"/>
      <c r="B46" s="161"/>
      <c r="C46" s="156"/>
      <c r="D46" s="52">
        <v>2016</v>
      </c>
      <c r="E46" s="54">
        <f>F46+G46+I46</f>
        <v>1386656</v>
      </c>
      <c r="F46" s="54">
        <v>0</v>
      </c>
      <c r="G46" s="54">
        <f>1383626+3030</f>
        <v>1386656</v>
      </c>
      <c r="H46" s="54">
        <v>0</v>
      </c>
      <c r="I46" s="54">
        <v>0</v>
      </c>
      <c r="J46" s="155"/>
      <c r="K46" s="151"/>
    </row>
    <row r="47" spans="1:11" ht="24" customHeight="1">
      <c r="A47" s="154" t="s">
        <v>45</v>
      </c>
      <c r="B47" s="159" t="s">
        <v>299</v>
      </c>
      <c r="C47" s="154" t="s">
        <v>43</v>
      </c>
      <c r="D47" s="52" t="s">
        <v>395</v>
      </c>
      <c r="E47" s="53">
        <f t="shared" si="3"/>
        <v>10051500</v>
      </c>
      <c r="F47" s="53">
        <f>F48+F49+F50</f>
        <v>0</v>
      </c>
      <c r="G47" s="53">
        <f>G48+G49+G50</f>
        <v>0</v>
      </c>
      <c r="H47" s="53">
        <v>0</v>
      </c>
      <c r="I47" s="53">
        <f>I48+I49+I50</f>
        <v>10051500</v>
      </c>
      <c r="J47" s="149" t="s">
        <v>383</v>
      </c>
      <c r="K47" s="150" t="s">
        <v>384</v>
      </c>
    </row>
    <row r="48" spans="1:11" ht="24" customHeight="1">
      <c r="A48" s="155"/>
      <c r="B48" s="160"/>
      <c r="C48" s="155"/>
      <c r="D48" s="52">
        <v>2014</v>
      </c>
      <c r="E48" s="54">
        <f t="shared" si="3"/>
        <v>3350500</v>
      </c>
      <c r="F48" s="54">
        <v>0</v>
      </c>
      <c r="G48" s="54">
        <v>0</v>
      </c>
      <c r="H48" s="54">
        <v>0</v>
      </c>
      <c r="I48" s="54">
        <v>3350500</v>
      </c>
      <c r="J48" s="165"/>
      <c r="K48" s="151"/>
    </row>
    <row r="49" spans="1:11" ht="24" customHeight="1">
      <c r="A49" s="155"/>
      <c r="B49" s="160"/>
      <c r="C49" s="155"/>
      <c r="D49" s="52">
        <v>2015</v>
      </c>
      <c r="E49" s="54">
        <f t="shared" si="3"/>
        <v>3350500</v>
      </c>
      <c r="F49" s="54">
        <v>0</v>
      </c>
      <c r="G49" s="54">
        <v>0</v>
      </c>
      <c r="H49" s="54">
        <v>0</v>
      </c>
      <c r="I49" s="54">
        <v>3350500</v>
      </c>
      <c r="J49" s="165"/>
      <c r="K49" s="151"/>
    </row>
    <row r="50" spans="1:11" ht="24" customHeight="1">
      <c r="A50" s="156"/>
      <c r="B50" s="161"/>
      <c r="C50" s="156"/>
      <c r="D50" s="52">
        <v>2016</v>
      </c>
      <c r="E50" s="54">
        <f t="shared" si="3"/>
        <v>3350500</v>
      </c>
      <c r="F50" s="54">
        <v>0</v>
      </c>
      <c r="G50" s="54">
        <v>0</v>
      </c>
      <c r="H50" s="54">
        <v>0</v>
      </c>
      <c r="I50" s="54">
        <v>3350500</v>
      </c>
      <c r="J50" s="165"/>
      <c r="K50" s="151"/>
    </row>
  </sheetData>
  <sheetProtection/>
  <mergeCells count="57">
    <mergeCell ref="J47:J50"/>
    <mergeCell ref="B35:B38"/>
    <mergeCell ref="A47:A50"/>
    <mergeCell ref="K47:K50"/>
    <mergeCell ref="C47:C50"/>
    <mergeCell ref="C43:C46"/>
    <mergeCell ref="J43:J46"/>
    <mergeCell ref="K43:K46"/>
    <mergeCell ref="A35:A38"/>
    <mergeCell ref="A39:A42"/>
    <mergeCell ref="K31:K34"/>
    <mergeCell ref="K35:K38"/>
    <mergeCell ref="K39:K42"/>
    <mergeCell ref="C35:C38"/>
    <mergeCell ref="C39:C42"/>
    <mergeCell ref="C31:C34"/>
    <mergeCell ref="J35:J38"/>
    <mergeCell ref="J39:J42"/>
    <mergeCell ref="J31:J34"/>
    <mergeCell ref="A3:J3"/>
    <mergeCell ref="J19:J22"/>
    <mergeCell ref="A11:A14"/>
    <mergeCell ref="B11:B14"/>
    <mergeCell ref="A9:A10"/>
    <mergeCell ref="B9:B10"/>
    <mergeCell ref="A19:A22"/>
    <mergeCell ref="A15:A18"/>
    <mergeCell ref="J9:J10"/>
    <mergeCell ref="J11:J14"/>
    <mergeCell ref="K9:K10"/>
    <mergeCell ref="C11:C14"/>
    <mergeCell ref="B27:B30"/>
    <mergeCell ref="C23:C26"/>
    <mergeCell ref="K11:K14"/>
    <mergeCell ref="D9:I9"/>
    <mergeCell ref="B15:B18"/>
    <mergeCell ref="C9:C10"/>
    <mergeCell ref="K27:K30"/>
    <mergeCell ref="K23:K26"/>
    <mergeCell ref="A23:A26"/>
    <mergeCell ref="B19:B22"/>
    <mergeCell ref="B39:B42"/>
    <mergeCell ref="B47:B50"/>
    <mergeCell ref="A27:A30"/>
    <mergeCell ref="A43:A46"/>
    <mergeCell ref="B43:B46"/>
    <mergeCell ref="B23:B26"/>
    <mergeCell ref="A31:A34"/>
    <mergeCell ref="B31:B34"/>
    <mergeCell ref="C15:C18"/>
    <mergeCell ref="J15:J18"/>
    <mergeCell ref="J27:J30"/>
    <mergeCell ref="K15:K18"/>
    <mergeCell ref="K19:K22"/>
    <mergeCell ref="C19:C22"/>
    <mergeCell ref="C27:C30"/>
    <mergeCell ref="J23:J26"/>
  </mergeCells>
  <printOptions/>
  <pageMargins left="0.7" right="0.7" top="0.75" bottom="0.75" header="0.3" footer="0.3"/>
  <pageSetup fitToHeight="0" fitToWidth="1" horizontalDpi="600" verticalDpi="600" orientation="landscape" paperSize="9" scale="86" r:id="rId3"/>
  <rowBreaks count="1" manualBreakCount="1">
    <brk id="22" max="1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5"/>
  <sheetViews>
    <sheetView zoomScaleSheetLayoutView="100" zoomScalePageLayoutView="0" workbookViewId="0" topLeftCell="A1">
      <selection activeCell="C5" sqref="B5:J14"/>
    </sheetView>
  </sheetViews>
  <sheetFormatPr defaultColWidth="9.140625" defaultRowHeight="15"/>
  <cols>
    <col min="1" max="1" width="6.57421875" style="11" customWidth="1"/>
    <col min="2" max="2" width="43.421875" style="10" customWidth="1"/>
    <col min="3" max="3" width="17.28125" style="10" customWidth="1"/>
    <col min="4" max="4" width="17.7109375" style="11" customWidth="1"/>
    <col min="5" max="9" width="15.28125" style="11" customWidth="1"/>
    <col min="10" max="10" width="15.00390625" style="11" customWidth="1"/>
    <col min="11" max="16384" width="9.140625" style="11" customWidth="1"/>
  </cols>
  <sheetData>
    <row r="1" spans="2:10" ht="15.75">
      <c r="B1" s="13"/>
      <c r="C1" s="13"/>
      <c r="D1" s="13"/>
      <c r="E1" s="13"/>
      <c r="F1" s="13"/>
      <c r="I1" s="166" t="s">
        <v>47</v>
      </c>
      <c r="J1" s="166"/>
    </row>
    <row r="2" spans="2:9" ht="15.75">
      <c r="B2" s="13"/>
      <c r="C2" s="13"/>
      <c r="D2" s="13"/>
      <c r="E2" s="13"/>
      <c r="F2" s="12"/>
      <c r="G2" s="13"/>
      <c r="H2" s="13"/>
      <c r="I2" s="13"/>
    </row>
    <row r="3" spans="2:9" ht="18.75" customHeight="1">
      <c r="B3" s="170" t="s">
        <v>439</v>
      </c>
      <c r="C3" s="170"/>
      <c r="D3" s="170"/>
      <c r="E3" s="170"/>
      <c r="F3" s="170"/>
      <c r="G3" s="170"/>
      <c r="H3" s="170"/>
      <c r="I3" s="170"/>
    </row>
    <row r="4" spans="2:9" ht="15.75">
      <c r="B4" s="13"/>
      <c r="C4" s="13"/>
      <c r="D4" s="13"/>
      <c r="E4" s="13"/>
      <c r="F4" s="13"/>
      <c r="G4" s="13"/>
      <c r="H4" s="13"/>
      <c r="I4" s="13"/>
    </row>
    <row r="5" spans="1:10" ht="35.25" customHeight="1">
      <c r="A5" s="167" t="s">
        <v>410</v>
      </c>
      <c r="B5" s="171" t="s">
        <v>433</v>
      </c>
      <c r="C5" s="171" t="s">
        <v>428</v>
      </c>
      <c r="D5" s="169" t="s">
        <v>426</v>
      </c>
      <c r="E5" s="169"/>
      <c r="F5" s="169"/>
      <c r="G5" s="169" t="s">
        <v>443</v>
      </c>
      <c r="H5" s="169"/>
      <c r="I5" s="169"/>
      <c r="J5" s="169" t="s">
        <v>405</v>
      </c>
    </row>
    <row r="6" spans="1:10" ht="24.75" customHeight="1">
      <c r="A6" s="168"/>
      <c r="B6" s="172"/>
      <c r="C6" s="172"/>
      <c r="D6" s="78" t="s">
        <v>385</v>
      </c>
      <c r="E6" s="78" t="s">
        <v>386</v>
      </c>
      <c r="F6" s="78" t="s">
        <v>387</v>
      </c>
      <c r="G6" s="78" t="s">
        <v>385</v>
      </c>
      <c r="H6" s="78" t="s">
        <v>386</v>
      </c>
      <c r="I6" s="78" t="s">
        <v>387</v>
      </c>
      <c r="J6" s="169"/>
    </row>
    <row r="7" spans="1:10" ht="24.75" customHeight="1">
      <c r="A7" s="8" t="s">
        <v>399</v>
      </c>
      <c r="B7" s="173" t="s">
        <v>13</v>
      </c>
      <c r="C7" s="174"/>
      <c r="D7" s="174"/>
      <c r="E7" s="174"/>
      <c r="F7" s="174"/>
      <c r="G7" s="174"/>
      <c r="H7" s="174"/>
      <c r="I7" s="174"/>
      <c r="J7" s="175"/>
    </row>
    <row r="8" spans="1:10" ht="32.25" customHeight="1">
      <c r="A8" s="8" t="s">
        <v>396</v>
      </c>
      <c r="B8" s="173" t="s">
        <v>378</v>
      </c>
      <c r="C8" s="174"/>
      <c r="D8" s="174"/>
      <c r="E8" s="174"/>
      <c r="F8" s="174"/>
      <c r="G8" s="174"/>
      <c r="H8" s="174"/>
      <c r="I8" s="174"/>
      <c r="J8" s="175"/>
    </row>
    <row r="9" spans="1:10" ht="57" customHeight="1">
      <c r="A9" s="34" t="s">
        <v>235</v>
      </c>
      <c r="B9" s="72" t="s">
        <v>91</v>
      </c>
      <c r="C9" s="72" t="s">
        <v>48</v>
      </c>
      <c r="D9" s="72">
        <v>3117</v>
      </c>
      <c r="E9" s="72">
        <v>3078</v>
      </c>
      <c r="F9" s="72">
        <v>3071</v>
      </c>
      <c r="G9" s="38">
        <f>'Пр 5 ОМ 1'!G20</f>
        <v>277929502</v>
      </c>
      <c r="H9" s="38">
        <f>'Пр 5 ОМ 1'!G21</f>
        <v>282350722</v>
      </c>
      <c r="I9" s="38">
        <f>'Пр 5 ОМ 1'!G22</f>
        <v>292811840</v>
      </c>
      <c r="J9" s="90"/>
    </row>
    <row r="10" spans="1:10" ht="24.75" customHeight="1">
      <c r="A10" s="8" t="s">
        <v>397</v>
      </c>
      <c r="B10" s="173" t="s">
        <v>374</v>
      </c>
      <c r="C10" s="174"/>
      <c r="D10" s="174"/>
      <c r="E10" s="174"/>
      <c r="F10" s="174"/>
      <c r="G10" s="174"/>
      <c r="H10" s="174"/>
      <c r="I10" s="174"/>
      <c r="J10" s="175"/>
    </row>
    <row r="11" spans="1:10" ht="55.5" customHeight="1">
      <c r="A11" s="8" t="s">
        <v>236</v>
      </c>
      <c r="B11" s="72" t="s">
        <v>388</v>
      </c>
      <c r="C11" s="72" t="s">
        <v>48</v>
      </c>
      <c r="D11" s="72">
        <v>3117</v>
      </c>
      <c r="E11" s="72">
        <v>3078</v>
      </c>
      <c r="F11" s="72">
        <v>3071</v>
      </c>
      <c r="G11" s="38">
        <f>'Пр 5 ОМ 1'!F24+'Пр 5 ОМ 1'!F32</f>
        <v>183246967.03</v>
      </c>
      <c r="H11" s="38">
        <f>'Пр 5 ОМ 1'!F25+'Пр 5 ОМ 1'!F33</f>
        <v>183131546</v>
      </c>
      <c r="I11" s="38">
        <f>'Пр 5 ОМ 1'!F26+'Пр 5 ОМ 1'!F34</f>
        <v>186347419</v>
      </c>
      <c r="J11" s="90"/>
    </row>
    <row r="12" spans="1:10" ht="24.75" customHeight="1">
      <c r="A12" s="8" t="s">
        <v>424</v>
      </c>
      <c r="B12" s="173" t="s">
        <v>49</v>
      </c>
      <c r="C12" s="174"/>
      <c r="D12" s="174"/>
      <c r="E12" s="174"/>
      <c r="F12" s="174"/>
      <c r="G12" s="174"/>
      <c r="H12" s="174"/>
      <c r="I12" s="174"/>
      <c r="J12" s="175"/>
    </row>
    <row r="13" spans="1:10" ht="42.75" customHeight="1">
      <c r="A13" s="34" t="s">
        <v>237</v>
      </c>
      <c r="B13" s="104" t="s">
        <v>234</v>
      </c>
      <c r="C13" s="72" t="s">
        <v>48</v>
      </c>
      <c r="D13" s="72">
        <v>20</v>
      </c>
      <c r="E13" s="72">
        <v>10</v>
      </c>
      <c r="F13" s="72">
        <v>9</v>
      </c>
      <c r="G13" s="38">
        <f>'Пр 5 ОМ 1'!G28</f>
        <v>4347200</v>
      </c>
      <c r="H13" s="38">
        <f>'Пр 5 ОМ 1'!G29</f>
        <v>4373283</v>
      </c>
      <c r="I13" s="38">
        <f>'Пр 5 ОМ 1'!G30</f>
        <v>4373283</v>
      </c>
      <c r="J13" s="90"/>
    </row>
    <row r="14" spans="2:10" ht="15">
      <c r="B14" s="55"/>
      <c r="C14" s="55"/>
      <c r="D14" s="56"/>
      <c r="E14" s="56"/>
      <c r="F14" s="56"/>
      <c r="G14" s="56"/>
      <c r="H14" s="56"/>
      <c r="I14" s="56"/>
      <c r="J14" s="56"/>
    </row>
    <row r="15" ht="15">
      <c r="B15" s="11"/>
    </row>
  </sheetData>
  <sheetProtection/>
  <mergeCells count="12">
    <mergeCell ref="B7:J7"/>
    <mergeCell ref="B12:J12"/>
    <mergeCell ref="B8:J8"/>
    <mergeCell ref="B10:J10"/>
    <mergeCell ref="I1:J1"/>
    <mergeCell ref="A5:A6"/>
    <mergeCell ref="D5:F5"/>
    <mergeCell ref="B3:I3"/>
    <mergeCell ref="G5:I5"/>
    <mergeCell ref="C5:C6"/>
    <mergeCell ref="B5:B6"/>
    <mergeCell ref="J5:J6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23"/>
  <sheetViews>
    <sheetView zoomScalePageLayoutView="0" workbookViewId="0" topLeftCell="A1">
      <pane ySplit="6" topLeftCell="A18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9.140625" style="50" customWidth="1"/>
    <col min="2" max="2" width="31.8515625" style="50" customWidth="1"/>
    <col min="3" max="12" width="9.140625" style="50" customWidth="1"/>
    <col min="13" max="22" width="0" style="50" hidden="1" customWidth="1"/>
    <col min="23" max="23" width="15.7109375" style="50" customWidth="1"/>
    <col min="24" max="24" width="13.57421875" style="50" customWidth="1"/>
    <col min="25" max="16384" width="9.140625" style="50" customWidth="1"/>
  </cols>
  <sheetData>
    <row r="1" spans="1:24" ht="15.7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 t="s">
        <v>50</v>
      </c>
      <c r="V1" s="56"/>
      <c r="W1" s="176" t="s">
        <v>50</v>
      </c>
      <c r="X1" s="177"/>
    </row>
    <row r="2" spans="1:24" ht="26.25" customHeight="1">
      <c r="A2" s="163" t="s">
        <v>240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55"/>
    </row>
    <row r="3" ht="15">
      <c r="A3" s="59"/>
    </row>
    <row r="4" spans="1:24" ht="15">
      <c r="A4" s="128" t="s">
        <v>410</v>
      </c>
      <c r="B4" s="128" t="s">
        <v>421</v>
      </c>
      <c r="C4" s="128" t="s">
        <v>411</v>
      </c>
      <c r="D4" s="128" t="s">
        <v>0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5" t="s">
        <v>414</v>
      </c>
      <c r="X4" s="128" t="s">
        <v>429</v>
      </c>
    </row>
    <row r="5" spans="1:24" ht="15">
      <c r="A5" s="128"/>
      <c r="B5" s="128"/>
      <c r="C5" s="128"/>
      <c r="D5" s="49">
        <v>2012</v>
      </c>
      <c r="E5" s="137">
        <v>2013</v>
      </c>
      <c r="F5" s="138"/>
      <c r="G5" s="131">
        <v>2014</v>
      </c>
      <c r="H5" s="131"/>
      <c r="I5" s="131">
        <v>2015</v>
      </c>
      <c r="J5" s="131"/>
      <c r="K5" s="131">
        <v>2016</v>
      </c>
      <c r="L5" s="131"/>
      <c r="M5" s="131">
        <v>2017</v>
      </c>
      <c r="N5" s="131"/>
      <c r="O5" s="131">
        <v>2018</v>
      </c>
      <c r="P5" s="131"/>
      <c r="Q5" s="131">
        <v>2019</v>
      </c>
      <c r="R5" s="131"/>
      <c r="S5" s="131">
        <v>2020</v>
      </c>
      <c r="T5" s="131"/>
      <c r="U5" s="131" t="s">
        <v>402</v>
      </c>
      <c r="V5" s="131"/>
      <c r="W5" s="126"/>
      <c r="X5" s="128"/>
    </row>
    <row r="6" spans="1:24" ht="40.5" customHeight="1">
      <c r="A6" s="128"/>
      <c r="B6" s="128"/>
      <c r="C6" s="128"/>
      <c r="D6" s="49" t="s">
        <v>412</v>
      </c>
      <c r="E6" s="49" t="s">
        <v>413</v>
      </c>
      <c r="F6" s="49" t="s">
        <v>412</v>
      </c>
      <c r="G6" s="49" t="s">
        <v>413</v>
      </c>
      <c r="H6" s="49" t="s">
        <v>412</v>
      </c>
      <c r="I6" s="49" t="s">
        <v>413</v>
      </c>
      <c r="J6" s="49" t="s">
        <v>412</v>
      </c>
      <c r="K6" s="49" t="s">
        <v>413</v>
      </c>
      <c r="L6" s="49" t="s">
        <v>412</v>
      </c>
      <c r="M6" s="49" t="s">
        <v>413</v>
      </c>
      <c r="N6" s="49" t="s">
        <v>412</v>
      </c>
      <c r="O6" s="49" t="s">
        <v>413</v>
      </c>
      <c r="P6" s="49" t="s">
        <v>412</v>
      </c>
      <c r="Q6" s="49" t="s">
        <v>413</v>
      </c>
      <c r="R6" s="49" t="s">
        <v>412</v>
      </c>
      <c r="S6" s="49" t="s">
        <v>413</v>
      </c>
      <c r="T6" s="49" t="s">
        <v>412</v>
      </c>
      <c r="U6" s="49" t="s">
        <v>413</v>
      </c>
      <c r="V6" s="49" t="s">
        <v>412</v>
      </c>
      <c r="W6" s="127"/>
      <c r="X6" s="128"/>
    </row>
    <row r="7" spans="1:24" ht="15">
      <c r="A7" s="49"/>
      <c r="B7" s="133" t="s">
        <v>51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5"/>
    </row>
    <row r="8" spans="1:24" ht="15">
      <c r="A8" s="49" t="s">
        <v>418</v>
      </c>
      <c r="B8" s="133" t="s">
        <v>420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5"/>
    </row>
    <row r="9" spans="1:24" ht="114.75">
      <c r="A9" s="49" t="s">
        <v>399</v>
      </c>
      <c r="B9" s="60" t="s">
        <v>241</v>
      </c>
      <c r="C9" s="49" t="s">
        <v>2</v>
      </c>
      <c r="D9" s="60">
        <v>32</v>
      </c>
      <c r="E9" s="60">
        <v>42</v>
      </c>
      <c r="F9" s="60"/>
      <c r="G9" s="60">
        <v>53</v>
      </c>
      <c r="H9" s="60"/>
      <c r="I9" s="60">
        <v>62</v>
      </c>
      <c r="J9" s="60"/>
      <c r="K9" s="60">
        <v>70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 t="s">
        <v>368</v>
      </c>
      <c r="X9" s="60"/>
    </row>
    <row r="10" spans="1:24" ht="46.5" customHeight="1">
      <c r="A10" s="49" t="s">
        <v>400</v>
      </c>
      <c r="B10" s="61" t="s">
        <v>242</v>
      </c>
      <c r="C10" s="49" t="s">
        <v>2</v>
      </c>
      <c r="D10" s="40">
        <v>72</v>
      </c>
      <c r="E10" s="40">
        <v>72.8</v>
      </c>
      <c r="F10" s="40"/>
      <c r="G10" s="40">
        <v>73</v>
      </c>
      <c r="H10" s="40"/>
      <c r="I10" s="40">
        <v>74</v>
      </c>
      <c r="J10" s="40"/>
      <c r="K10" s="40">
        <v>75</v>
      </c>
      <c r="L10" s="4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 t="s">
        <v>243</v>
      </c>
      <c r="X10" s="60"/>
    </row>
    <row r="11" spans="1:24" ht="15">
      <c r="A11" s="49" t="s">
        <v>419</v>
      </c>
      <c r="B11" s="133" t="s">
        <v>422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5"/>
    </row>
    <row r="12" spans="1:24" ht="34.5" customHeight="1">
      <c r="A12" s="49" t="s">
        <v>401</v>
      </c>
      <c r="B12" s="133" t="s">
        <v>244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</row>
    <row r="13" spans="1:24" ht="129.75" customHeight="1">
      <c r="A13" s="49" t="s">
        <v>415</v>
      </c>
      <c r="B13" s="40" t="s">
        <v>52</v>
      </c>
      <c r="C13" s="49" t="s">
        <v>2</v>
      </c>
      <c r="D13" s="40">
        <v>1.64</v>
      </c>
      <c r="E13" s="40">
        <v>1.74</v>
      </c>
      <c r="F13" s="40"/>
      <c r="G13" s="40">
        <v>1.69</v>
      </c>
      <c r="H13" s="40"/>
      <c r="I13" s="40">
        <v>1.68</v>
      </c>
      <c r="J13" s="40"/>
      <c r="K13" s="40">
        <v>1.67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60" t="s">
        <v>245</v>
      </c>
      <c r="X13" s="40"/>
    </row>
    <row r="14" spans="1:24" ht="51">
      <c r="A14" s="49" t="s">
        <v>416</v>
      </c>
      <c r="B14" s="40" t="s">
        <v>53</v>
      </c>
      <c r="C14" s="49" t="s">
        <v>2</v>
      </c>
      <c r="D14" s="40">
        <v>94</v>
      </c>
      <c r="E14" s="40">
        <v>92</v>
      </c>
      <c r="F14" s="40"/>
      <c r="G14" s="40">
        <v>100</v>
      </c>
      <c r="H14" s="40"/>
      <c r="I14" s="40">
        <v>100</v>
      </c>
      <c r="J14" s="40"/>
      <c r="K14" s="40">
        <v>100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60" t="s">
        <v>243</v>
      </c>
      <c r="X14" s="40"/>
    </row>
    <row r="15" spans="1:24" ht="63.75">
      <c r="A15" s="49" t="s">
        <v>62</v>
      </c>
      <c r="B15" s="40" t="s">
        <v>249</v>
      </c>
      <c r="C15" s="49" t="s">
        <v>2</v>
      </c>
      <c r="D15" s="40">
        <v>99.6</v>
      </c>
      <c r="E15" s="40">
        <v>98.8</v>
      </c>
      <c r="F15" s="40"/>
      <c r="G15" s="40">
        <v>100</v>
      </c>
      <c r="H15" s="40"/>
      <c r="I15" s="40">
        <v>100</v>
      </c>
      <c r="J15" s="40"/>
      <c r="K15" s="40">
        <v>100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60" t="s">
        <v>243</v>
      </c>
      <c r="X15" s="40"/>
    </row>
    <row r="16" spans="1:24" ht="63.75">
      <c r="A16" s="49" t="s">
        <v>63</v>
      </c>
      <c r="B16" s="40" t="s">
        <v>54</v>
      </c>
      <c r="C16" s="49" t="s">
        <v>2</v>
      </c>
      <c r="D16" s="40">
        <v>99</v>
      </c>
      <c r="E16" s="40">
        <v>100</v>
      </c>
      <c r="F16" s="40"/>
      <c r="G16" s="40">
        <v>100</v>
      </c>
      <c r="H16" s="40"/>
      <c r="I16" s="40">
        <v>100</v>
      </c>
      <c r="J16" s="40"/>
      <c r="K16" s="40">
        <v>100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60" t="s">
        <v>368</v>
      </c>
      <c r="X16" s="40"/>
    </row>
    <row r="17" spans="1:24" ht="63.75">
      <c r="A17" s="49" t="s">
        <v>247</v>
      </c>
      <c r="B17" s="25" t="s">
        <v>246</v>
      </c>
      <c r="C17" s="25" t="s">
        <v>239</v>
      </c>
      <c r="D17" s="40">
        <v>0</v>
      </c>
      <c r="E17" s="40">
        <v>1</v>
      </c>
      <c r="F17" s="40"/>
      <c r="G17" s="40">
        <v>1</v>
      </c>
      <c r="H17" s="40"/>
      <c r="I17" s="40">
        <v>1</v>
      </c>
      <c r="J17" s="40"/>
      <c r="K17" s="40">
        <v>1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368</v>
      </c>
      <c r="X17" s="40"/>
    </row>
    <row r="18" spans="1:24" ht="51">
      <c r="A18" s="49" t="s">
        <v>250</v>
      </c>
      <c r="B18" s="25" t="s">
        <v>248</v>
      </c>
      <c r="C18" s="25" t="s">
        <v>239</v>
      </c>
      <c r="D18" s="40">
        <v>0</v>
      </c>
      <c r="E18" s="40">
        <v>1</v>
      </c>
      <c r="F18" s="40"/>
      <c r="G18" s="40">
        <v>1</v>
      </c>
      <c r="H18" s="40"/>
      <c r="I18" s="40">
        <v>1</v>
      </c>
      <c r="J18" s="40"/>
      <c r="K18" s="40">
        <v>1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 t="s">
        <v>368</v>
      </c>
      <c r="X18" s="40"/>
    </row>
    <row r="19" spans="1:24" ht="30" customHeight="1">
      <c r="A19" s="49" t="s">
        <v>404</v>
      </c>
      <c r="B19" s="132" t="s">
        <v>251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ht="51">
      <c r="A20" s="49" t="s">
        <v>431</v>
      </c>
      <c r="B20" s="25" t="s">
        <v>254</v>
      </c>
      <c r="C20" s="25" t="s">
        <v>239</v>
      </c>
      <c r="D20" s="40">
        <v>0</v>
      </c>
      <c r="E20" s="40">
        <v>0</v>
      </c>
      <c r="F20" s="40"/>
      <c r="G20" s="40">
        <v>1</v>
      </c>
      <c r="H20" s="40"/>
      <c r="I20" s="40">
        <v>1</v>
      </c>
      <c r="J20" s="40"/>
      <c r="K20" s="40">
        <v>1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 t="s">
        <v>368</v>
      </c>
      <c r="X20" s="40"/>
    </row>
    <row r="21" spans="1:24" ht="66" customHeight="1">
      <c r="A21" s="49" t="s">
        <v>432</v>
      </c>
      <c r="B21" s="25" t="s">
        <v>252</v>
      </c>
      <c r="C21" s="49" t="s">
        <v>2</v>
      </c>
      <c r="D21" s="62">
        <v>0.976</v>
      </c>
      <c r="E21" s="40">
        <v>100</v>
      </c>
      <c r="F21" s="40"/>
      <c r="G21" s="40">
        <v>100</v>
      </c>
      <c r="H21" s="40"/>
      <c r="I21" s="40">
        <v>100</v>
      </c>
      <c r="J21" s="40"/>
      <c r="K21" s="40">
        <v>100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60" t="s">
        <v>253</v>
      </c>
      <c r="X21" s="40"/>
    </row>
    <row r="22" spans="1:24" ht="63.75">
      <c r="A22" s="49" t="s">
        <v>60</v>
      </c>
      <c r="B22" s="25" t="s">
        <v>291</v>
      </c>
      <c r="C22" s="25" t="s">
        <v>239</v>
      </c>
      <c r="D22" s="40">
        <v>0</v>
      </c>
      <c r="E22" s="40">
        <v>1</v>
      </c>
      <c r="F22" s="40"/>
      <c r="G22" s="40">
        <v>1</v>
      </c>
      <c r="H22" s="40"/>
      <c r="I22" s="40">
        <v>1</v>
      </c>
      <c r="J22" s="40"/>
      <c r="K22" s="40">
        <v>1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 t="s">
        <v>368</v>
      </c>
      <c r="X22" s="40"/>
    </row>
    <row r="23" ht="15">
      <c r="B23" s="46"/>
    </row>
  </sheetData>
  <sheetProtection/>
  <mergeCells count="22">
    <mergeCell ref="B12:X12"/>
    <mergeCell ref="U5:V5"/>
    <mergeCell ref="M5:N5"/>
    <mergeCell ref="W4:W6"/>
    <mergeCell ref="X4:X6"/>
    <mergeCell ref="K5:L5"/>
    <mergeCell ref="Q5:R5"/>
    <mergeCell ref="B19:X19"/>
    <mergeCell ref="I5:J5"/>
    <mergeCell ref="B7:X7"/>
    <mergeCell ref="B8:X8"/>
    <mergeCell ref="B11:X11"/>
    <mergeCell ref="D4:V4"/>
    <mergeCell ref="O5:P5"/>
    <mergeCell ref="S5:T5"/>
    <mergeCell ref="E5:F5"/>
    <mergeCell ref="G5:H5"/>
    <mergeCell ref="W1:X1"/>
    <mergeCell ref="A2:W2"/>
    <mergeCell ref="A4:A6"/>
    <mergeCell ref="B4:B6"/>
    <mergeCell ref="C4:C6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7"/>
  <sheetViews>
    <sheetView zoomScalePageLayoutView="0" workbookViewId="0" topLeftCell="A1">
      <selection activeCell="B5" sqref="B5:G17"/>
    </sheetView>
  </sheetViews>
  <sheetFormatPr defaultColWidth="9.140625" defaultRowHeight="15"/>
  <cols>
    <col min="1" max="1" width="42.57421875" style="0" customWidth="1"/>
    <col min="3" max="6" width="18.28125" style="0" customWidth="1"/>
  </cols>
  <sheetData>
    <row r="1" spans="5:6" ht="23.25" customHeight="1">
      <c r="E1" s="178" t="s">
        <v>56</v>
      </c>
      <c r="F1" s="178"/>
    </row>
    <row r="3" spans="1:6" ht="28.5" customHeight="1">
      <c r="A3" s="148" t="s">
        <v>292</v>
      </c>
      <c r="B3" s="148"/>
      <c r="C3" s="148"/>
      <c r="D3" s="148"/>
      <c r="E3" s="148"/>
      <c r="F3" s="148"/>
    </row>
    <row r="5" spans="1:7" ht="15">
      <c r="A5" s="144"/>
      <c r="B5" s="179"/>
      <c r="C5" s="147" t="s">
        <v>441</v>
      </c>
      <c r="D5" s="147"/>
      <c r="E5" s="147"/>
      <c r="F5" s="147"/>
      <c r="G5" s="50"/>
    </row>
    <row r="6" spans="1:7" ht="26.25" customHeight="1">
      <c r="A6" s="145"/>
      <c r="B6" s="180"/>
      <c r="C6" s="85" t="s">
        <v>395</v>
      </c>
      <c r="D6" s="85">
        <v>2014</v>
      </c>
      <c r="E6" s="85">
        <v>2015</v>
      </c>
      <c r="F6" s="85">
        <v>2016</v>
      </c>
      <c r="G6" s="50"/>
    </row>
    <row r="7" spans="1:7" ht="24" customHeight="1">
      <c r="A7" s="146"/>
      <c r="B7" s="181"/>
      <c r="C7" s="85" t="s">
        <v>440</v>
      </c>
      <c r="D7" s="85" t="s">
        <v>440</v>
      </c>
      <c r="E7" s="85" t="s">
        <v>440</v>
      </c>
      <c r="F7" s="85" t="s">
        <v>440</v>
      </c>
      <c r="G7" s="50"/>
    </row>
    <row r="8" spans="1:7" ht="23.25" customHeight="1">
      <c r="A8" s="140" t="s">
        <v>55</v>
      </c>
      <c r="B8" s="86" t="s">
        <v>395</v>
      </c>
      <c r="C8" s="109">
        <f>SUM(C9:C12)</f>
        <v>1953899199.97</v>
      </c>
      <c r="D8" s="109">
        <f>SUM(D9:D12)</f>
        <v>626799856.97</v>
      </c>
      <c r="E8" s="109">
        <f>SUM(E9:E12)</f>
        <v>645887075</v>
      </c>
      <c r="F8" s="109">
        <f>SUM(F9:F12)</f>
        <v>681212268</v>
      </c>
      <c r="G8" s="50"/>
    </row>
    <row r="9" spans="1:7" ht="20.25" customHeight="1">
      <c r="A9" s="140"/>
      <c r="B9" s="89" t="s">
        <v>393</v>
      </c>
      <c r="C9" s="109">
        <f>SUM(D9:F9)</f>
        <v>875793101.97</v>
      </c>
      <c r="D9" s="88">
        <f aca="true" t="shared" si="0" ref="D9:F10">D14</f>
        <v>286106236.97</v>
      </c>
      <c r="E9" s="88">
        <f t="shared" si="0"/>
        <v>292102648</v>
      </c>
      <c r="F9" s="88">
        <f t="shared" si="0"/>
        <v>297584217</v>
      </c>
      <c r="G9" s="50"/>
    </row>
    <row r="10" spans="1:7" ht="29.25" customHeight="1">
      <c r="A10" s="140"/>
      <c r="B10" s="89" t="s">
        <v>391</v>
      </c>
      <c r="C10" s="109">
        <f>SUM(D10:F10)</f>
        <v>972155028</v>
      </c>
      <c r="D10" s="88">
        <f t="shared" si="0"/>
        <v>306173920</v>
      </c>
      <c r="E10" s="88">
        <f t="shared" si="0"/>
        <v>318234057</v>
      </c>
      <c r="F10" s="88">
        <f t="shared" si="0"/>
        <v>347747051</v>
      </c>
      <c r="G10" s="50"/>
    </row>
    <row r="11" spans="1:7" ht="29.25" customHeight="1">
      <c r="A11" s="140"/>
      <c r="B11" s="89" t="s">
        <v>392</v>
      </c>
      <c r="C11" s="109">
        <f>SUM(D11:F11)</f>
        <v>0</v>
      </c>
      <c r="D11" s="88">
        <f aca="true" t="shared" si="1" ref="D11:F12">D16</f>
        <v>0</v>
      </c>
      <c r="E11" s="88">
        <f t="shared" si="1"/>
        <v>0</v>
      </c>
      <c r="F11" s="88">
        <f t="shared" si="1"/>
        <v>0</v>
      </c>
      <c r="G11" s="50"/>
    </row>
    <row r="12" spans="1:7" ht="33" customHeight="1">
      <c r="A12" s="140"/>
      <c r="B12" s="89" t="s">
        <v>394</v>
      </c>
      <c r="C12" s="109">
        <f>SUM(D12:F12)</f>
        <v>105951070</v>
      </c>
      <c r="D12" s="88">
        <f t="shared" si="1"/>
        <v>34519700</v>
      </c>
      <c r="E12" s="88">
        <f t="shared" si="1"/>
        <v>35550370</v>
      </c>
      <c r="F12" s="88">
        <f t="shared" si="1"/>
        <v>35881000</v>
      </c>
      <c r="G12" s="50"/>
    </row>
    <row r="13" spans="1:7" ht="22.5" customHeight="1">
      <c r="A13" s="140" t="s">
        <v>11</v>
      </c>
      <c r="B13" s="86" t="s">
        <v>395</v>
      </c>
      <c r="C13" s="109">
        <f>SUM(C14:C17)</f>
        <v>1953899199.97</v>
      </c>
      <c r="D13" s="109">
        <f>SUM(D14:D17)</f>
        <v>626799856.97</v>
      </c>
      <c r="E13" s="109">
        <f>SUM(E14:E17)</f>
        <v>645887075</v>
      </c>
      <c r="F13" s="109">
        <f>SUM(F14:F17)</f>
        <v>681212268</v>
      </c>
      <c r="G13" s="50"/>
    </row>
    <row r="14" spans="1:7" ht="20.25" customHeight="1">
      <c r="A14" s="140"/>
      <c r="B14" s="89" t="s">
        <v>393</v>
      </c>
      <c r="C14" s="109">
        <f>SUM(D14:F14)</f>
        <v>875793101.97</v>
      </c>
      <c r="D14" s="88">
        <f>'ПР9 ОМ 2'!F12</f>
        <v>286106236.97</v>
      </c>
      <c r="E14" s="88">
        <f>'ПР9 ОМ 2'!F13</f>
        <v>292102648</v>
      </c>
      <c r="F14" s="88">
        <f>'ПР9 ОМ 2'!F14</f>
        <v>297584217</v>
      </c>
      <c r="G14" s="50"/>
    </row>
    <row r="15" spans="1:7" ht="18.75" customHeight="1">
      <c r="A15" s="140"/>
      <c r="B15" s="89" t="s">
        <v>391</v>
      </c>
      <c r="C15" s="109">
        <f>SUM(D15:F15)</f>
        <v>972155028</v>
      </c>
      <c r="D15" s="88">
        <f>'ПР9 ОМ 2'!G12</f>
        <v>306173920</v>
      </c>
      <c r="E15" s="88">
        <f>'ПР9 ОМ 2'!G13</f>
        <v>318234057</v>
      </c>
      <c r="F15" s="88">
        <f>'ПР9 ОМ 2'!G14</f>
        <v>347747051</v>
      </c>
      <c r="G15" s="50"/>
    </row>
    <row r="16" spans="1:7" ht="30" customHeight="1">
      <c r="A16" s="140"/>
      <c r="B16" s="89" t="s">
        <v>392</v>
      </c>
      <c r="C16" s="109">
        <f>SUM(D16:F16)</f>
        <v>0</v>
      </c>
      <c r="D16" s="88">
        <f>'ПР9 ОМ 2'!H12</f>
        <v>0</v>
      </c>
      <c r="E16" s="88">
        <f>'ПР9 ОМ 2'!H13</f>
        <v>0</v>
      </c>
      <c r="F16" s="88">
        <f>'ПР9 ОМ 2'!H14</f>
        <v>0</v>
      </c>
      <c r="G16" s="50"/>
    </row>
    <row r="17" spans="1:7" ht="40.5" customHeight="1">
      <c r="A17" s="140"/>
      <c r="B17" s="89" t="s">
        <v>394</v>
      </c>
      <c r="C17" s="109">
        <f>SUM(D17:F17)</f>
        <v>105951070</v>
      </c>
      <c r="D17" s="88">
        <f>'ПР9 ОМ 2'!I12</f>
        <v>34519700</v>
      </c>
      <c r="E17" s="88">
        <f>'ПР9 ОМ 2'!I13</f>
        <v>35550370</v>
      </c>
      <c r="F17" s="88">
        <f>'ПР9 ОМ 2'!I14</f>
        <v>35881000</v>
      </c>
      <c r="G17" s="50"/>
    </row>
  </sheetData>
  <sheetProtection/>
  <mergeCells count="7">
    <mergeCell ref="A13:A17"/>
    <mergeCell ref="E1:F1"/>
    <mergeCell ref="A3:F3"/>
    <mergeCell ref="A5:A7"/>
    <mergeCell ref="B5:B7"/>
    <mergeCell ref="C5:F5"/>
    <mergeCell ref="A8:A12"/>
  </mergeCells>
  <printOptions/>
  <pageMargins left="0.26" right="0.15" top="0.75" bottom="0.75" header="0.3" footer="0.3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6"/>
  <sheetViews>
    <sheetView zoomScalePageLayoutView="0" workbookViewId="0" topLeftCell="B1">
      <selection activeCell="J75" sqref="J75:J86"/>
    </sheetView>
  </sheetViews>
  <sheetFormatPr defaultColWidth="9.140625" defaultRowHeight="15"/>
  <cols>
    <col min="1" max="1" width="8.28125" style="50" customWidth="1"/>
    <col min="2" max="2" width="36.140625" style="50" customWidth="1"/>
    <col min="3" max="3" width="10.57421875" style="50" customWidth="1"/>
    <col min="4" max="4" width="9.7109375" style="50" customWidth="1"/>
    <col min="5" max="5" width="15.7109375" style="50" customWidth="1"/>
    <col min="6" max="6" width="12.7109375" style="50" customWidth="1"/>
    <col min="7" max="7" width="13.28125" style="50" customWidth="1"/>
    <col min="8" max="8" width="10.00390625" style="50" customWidth="1"/>
    <col min="9" max="9" width="13.8515625" style="50" customWidth="1"/>
    <col min="10" max="10" width="21.7109375" style="50" customWidth="1"/>
    <col min="11" max="11" width="16.00390625" style="50" customWidth="1"/>
    <col min="12" max="12" width="13.57421875" style="50" bestFit="1" customWidth="1"/>
    <col min="13" max="16384" width="9.140625" style="50" customWidth="1"/>
  </cols>
  <sheetData>
    <row r="1" ht="15">
      <c r="I1" s="63" t="s">
        <v>57</v>
      </c>
    </row>
    <row r="2" ht="15.75">
      <c r="F2" s="57"/>
    </row>
    <row r="3" spans="1:11" ht="30.75" customHeight="1">
      <c r="A3" s="163" t="s">
        <v>58</v>
      </c>
      <c r="B3" s="163"/>
      <c r="C3" s="163"/>
      <c r="D3" s="163"/>
      <c r="E3" s="163"/>
      <c r="F3" s="163"/>
      <c r="G3" s="163"/>
      <c r="H3" s="163"/>
      <c r="I3" s="163"/>
      <c r="J3" s="163"/>
      <c r="K3" s="58"/>
    </row>
    <row r="4" spans="1:11" ht="15" hidden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" hidden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5" hidden="1">
      <c r="A6" s="58"/>
      <c r="B6" s="58"/>
      <c r="C6" s="58"/>
      <c r="D6" s="58"/>
      <c r="E6" s="64">
        <f>E11-E15</f>
        <v>675185387.97</v>
      </c>
      <c r="F6" s="64">
        <f>F11-F15</f>
        <v>573445432.97</v>
      </c>
      <c r="G6" s="64">
        <f>G11-G15</f>
        <v>0</v>
      </c>
      <c r="H6" s="65">
        <f>H11-H15</f>
        <v>0</v>
      </c>
      <c r="I6" s="65">
        <f>I11-I15</f>
        <v>101739955</v>
      </c>
      <c r="J6" s="58"/>
      <c r="K6" s="58"/>
    </row>
    <row r="7" spans="1:11" ht="15" hidden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ht="15">
      <c r="G8" s="66"/>
    </row>
    <row r="9" spans="1:11" ht="29.25" customHeight="1">
      <c r="A9" s="157" t="s">
        <v>389</v>
      </c>
      <c r="B9" s="149" t="s">
        <v>437</v>
      </c>
      <c r="C9" s="149" t="s">
        <v>403</v>
      </c>
      <c r="D9" s="149" t="s">
        <v>442</v>
      </c>
      <c r="E9" s="149"/>
      <c r="F9" s="149"/>
      <c r="G9" s="149"/>
      <c r="H9" s="149"/>
      <c r="I9" s="149"/>
      <c r="J9" s="150" t="s">
        <v>417</v>
      </c>
      <c r="K9" s="150" t="s">
        <v>398</v>
      </c>
    </row>
    <row r="10" spans="1:11" ht="25.5" customHeight="1">
      <c r="A10" s="157"/>
      <c r="B10" s="149"/>
      <c r="C10" s="149"/>
      <c r="D10" s="52" t="s">
        <v>390</v>
      </c>
      <c r="E10" s="52" t="s">
        <v>395</v>
      </c>
      <c r="F10" s="52" t="s">
        <v>393</v>
      </c>
      <c r="G10" s="52" t="s">
        <v>391</v>
      </c>
      <c r="H10" s="52" t="s">
        <v>392</v>
      </c>
      <c r="I10" s="52" t="s">
        <v>394</v>
      </c>
      <c r="J10" s="151"/>
      <c r="K10" s="162"/>
    </row>
    <row r="11" spans="1:11" ht="15">
      <c r="A11" s="157"/>
      <c r="B11" s="164" t="s">
        <v>59</v>
      </c>
      <c r="C11" s="149" t="s">
        <v>43</v>
      </c>
      <c r="D11" s="52" t="s">
        <v>395</v>
      </c>
      <c r="E11" s="53">
        <f>SUM(E12:E14)</f>
        <v>1953899199.97</v>
      </c>
      <c r="F11" s="53">
        <f>SUM(F12:F14)</f>
        <v>875793101.97</v>
      </c>
      <c r="G11" s="53">
        <f>SUM(G12:G14)</f>
        <v>972155028</v>
      </c>
      <c r="H11" s="53">
        <f>SUM(H12:H14)</f>
        <v>0</v>
      </c>
      <c r="I11" s="53">
        <f>SUM(I12:I14)</f>
        <v>105951070</v>
      </c>
      <c r="J11" s="150"/>
      <c r="K11" s="150"/>
    </row>
    <row r="12" spans="1:11" ht="15">
      <c r="A12" s="157"/>
      <c r="B12" s="164"/>
      <c r="C12" s="149"/>
      <c r="D12" s="52">
        <v>2014</v>
      </c>
      <c r="E12" s="53">
        <f>SUM(F12:I12)</f>
        <v>626799856.97</v>
      </c>
      <c r="F12" s="54">
        <f aca="true" t="shared" si="0" ref="F12:I14">F16+F60</f>
        <v>286106236.97</v>
      </c>
      <c r="G12" s="54">
        <f t="shared" si="0"/>
        <v>306173920</v>
      </c>
      <c r="H12" s="54">
        <f t="shared" si="0"/>
        <v>0</v>
      </c>
      <c r="I12" s="54">
        <f t="shared" si="0"/>
        <v>34519700</v>
      </c>
      <c r="J12" s="151"/>
      <c r="K12" s="151"/>
    </row>
    <row r="13" spans="1:11" ht="15">
      <c r="A13" s="157"/>
      <c r="B13" s="164"/>
      <c r="C13" s="149"/>
      <c r="D13" s="52">
        <v>2015</v>
      </c>
      <c r="E13" s="53">
        <f>SUM(F13:I13)</f>
        <v>645887075</v>
      </c>
      <c r="F13" s="54">
        <f t="shared" si="0"/>
        <v>292102648</v>
      </c>
      <c r="G13" s="54">
        <f t="shared" si="0"/>
        <v>318234057</v>
      </c>
      <c r="H13" s="54">
        <f t="shared" si="0"/>
        <v>0</v>
      </c>
      <c r="I13" s="54">
        <f t="shared" si="0"/>
        <v>35550370</v>
      </c>
      <c r="J13" s="151"/>
      <c r="K13" s="151"/>
    </row>
    <row r="14" spans="1:11" ht="15">
      <c r="A14" s="157"/>
      <c r="B14" s="164"/>
      <c r="C14" s="149"/>
      <c r="D14" s="52">
        <v>2016</v>
      </c>
      <c r="E14" s="53">
        <f>SUM(F14:I14)</f>
        <v>681212268</v>
      </c>
      <c r="F14" s="54">
        <f t="shared" si="0"/>
        <v>297584217</v>
      </c>
      <c r="G14" s="54">
        <f t="shared" si="0"/>
        <v>347747051</v>
      </c>
      <c r="H14" s="54">
        <f t="shared" si="0"/>
        <v>0</v>
      </c>
      <c r="I14" s="54">
        <f t="shared" si="0"/>
        <v>35881000</v>
      </c>
      <c r="J14" s="151"/>
      <c r="K14" s="151"/>
    </row>
    <row r="15" spans="1:11" ht="20.25" customHeight="1">
      <c r="A15" s="157" t="s">
        <v>399</v>
      </c>
      <c r="B15" s="158" t="s">
        <v>244</v>
      </c>
      <c r="C15" s="149" t="s">
        <v>43</v>
      </c>
      <c r="D15" s="52" t="s">
        <v>395</v>
      </c>
      <c r="E15" s="53">
        <f>SUM(E16:E18)</f>
        <v>1278713812</v>
      </c>
      <c r="F15" s="53">
        <f>SUM(F16:F18)</f>
        <v>302347669</v>
      </c>
      <c r="G15" s="53">
        <f>SUM(G16:G18)</f>
        <v>972155028</v>
      </c>
      <c r="H15" s="53">
        <f>SUM(H16:H18)</f>
        <v>0</v>
      </c>
      <c r="I15" s="53">
        <f>SUM(I16:I18)</f>
        <v>4211115</v>
      </c>
      <c r="J15" s="150"/>
      <c r="K15" s="150"/>
    </row>
    <row r="16" spans="1:11" ht="20.25" customHeight="1">
      <c r="A16" s="157"/>
      <c r="B16" s="158"/>
      <c r="C16" s="149"/>
      <c r="D16" s="52">
        <v>2014</v>
      </c>
      <c r="E16" s="53">
        <f>SUM(F16:I16)</f>
        <v>407546428</v>
      </c>
      <c r="F16" s="54">
        <f>F20+F24+F28+F32+F36+F40+F44+F48+F52+F56</f>
        <v>99968803</v>
      </c>
      <c r="G16" s="54">
        <f>G20+G24+G28+G32+G36+G40+G44+G48+G52+G56</f>
        <v>306173920</v>
      </c>
      <c r="H16" s="54">
        <f>H20+H24+H28+H32+H36+H40+H44+H48+H52+H56</f>
        <v>0</v>
      </c>
      <c r="I16" s="54">
        <f>I20+I24+I28+I32+I36+I40+I44+I48+I52+I56</f>
        <v>1403705</v>
      </c>
      <c r="J16" s="151"/>
      <c r="K16" s="151"/>
    </row>
    <row r="17" spans="1:11" ht="20.25" customHeight="1">
      <c r="A17" s="157"/>
      <c r="B17" s="158"/>
      <c r="C17" s="149"/>
      <c r="D17" s="52">
        <v>2015</v>
      </c>
      <c r="E17" s="53">
        <f>SUM(F17:I17)</f>
        <v>420388448</v>
      </c>
      <c r="F17" s="54">
        <f aca="true" t="shared" si="1" ref="F17:I18">F21+F25+F29+F33+F37+F41+F45+F49+F53+F57</f>
        <v>100750686</v>
      </c>
      <c r="G17" s="54">
        <f t="shared" si="1"/>
        <v>318234057</v>
      </c>
      <c r="H17" s="54">
        <f t="shared" si="1"/>
        <v>0</v>
      </c>
      <c r="I17" s="54">
        <f t="shared" si="1"/>
        <v>1403705</v>
      </c>
      <c r="J17" s="151"/>
      <c r="K17" s="151"/>
    </row>
    <row r="18" spans="1:12" ht="20.25" customHeight="1">
      <c r="A18" s="157"/>
      <c r="B18" s="158"/>
      <c r="C18" s="149"/>
      <c r="D18" s="52">
        <v>2016</v>
      </c>
      <c r="E18" s="53">
        <f>SUM(F18:I18)</f>
        <v>450778936</v>
      </c>
      <c r="F18" s="54">
        <f t="shared" si="1"/>
        <v>101628180</v>
      </c>
      <c r="G18" s="54">
        <f t="shared" si="1"/>
        <v>347747051</v>
      </c>
      <c r="H18" s="54">
        <f t="shared" si="1"/>
        <v>0</v>
      </c>
      <c r="I18" s="54">
        <f t="shared" si="1"/>
        <v>1403705</v>
      </c>
      <c r="J18" s="151"/>
      <c r="K18" s="151"/>
      <c r="L18" s="66"/>
    </row>
    <row r="19" spans="1:11" ht="30" customHeight="1">
      <c r="A19" s="157" t="s">
        <v>396</v>
      </c>
      <c r="B19" s="158" t="s">
        <v>66</v>
      </c>
      <c r="C19" s="149" t="s">
        <v>43</v>
      </c>
      <c r="D19" s="52" t="s">
        <v>395</v>
      </c>
      <c r="E19" s="53">
        <f>SUM(E20:E22)</f>
        <v>391231491.8</v>
      </c>
      <c r="F19" s="53">
        <f>SUM(F20:F22)</f>
        <v>0</v>
      </c>
      <c r="G19" s="53">
        <f>SUM(G20:G22)</f>
        <v>391231491.8</v>
      </c>
      <c r="H19" s="53">
        <f>SUM(H20:H22)</f>
        <v>0</v>
      </c>
      <c r="I19" s="53">
        <f>SUM(I20:I22)</f>
        <v>0</v>
      </c>
      <c r="J19" s="150" t="s">
        <v>160</v>
      </c>
      <c r="K19" s="150" t="s">
        <v>165</v>
      </c>
    </row>
    <row r="20" spans="1:11" ht="30" customHeight="1">
      <c r="A20" s="157"/>
      <c r="B20" s="158"/>
      <c r="C20" s="149"/>
      <c r="D20" s="52">
        <v>2014</v>
      </c>
      <c r="E20" s="53">
        <f>SUM(F20:I20)</f>
        <v>117343741.8</v>
      </c>
      <c r="F20" s="54"/>
      <c r="G20" s="54">
        <f>117225117.2+223820*0.53</f>
        <v>117343741.8</v>
      </c>
      <c r="H20" s="54"/>
      <c r="I20" s="54"/>
      <c r="J20" s="151"/>
      <c r="K20" s="151"/>
    </row>
    <row r="21" spans="1:11" ht="30" customHeight="1">
      <c r="A21" s="157"/>
      <c r="B21" s="158"/>
      <c r="C21" s="149"/>
      <c r="D21" s="52">
        <v>2015</v>
      </c>
      <c r="E21" s="53">
        <f>SUM(F21:I21)</f>
        <v>134390340</v>
      </c>
      <c r="F21" s="54"/>
      <c r="G21" s="54">
        <f>134276268+114072</f>
        <v>134390340</v>
      </c>
      <c r="H21" s="54"/>
      <c r="I21" s="54"/>
      <c r="J21" s="151"/>
      <c r="K21" s="151"/>
    </row>
    <row r="22" spans="1:11" ht="30" customHeight="1">
      <c r="A22" s="157"/>
      <c r="B22" s="158"/>
      <c r="C22" s="149"/>
      <c r="D22" s="52">
        <v>2016</v>
      </c>
      <c r="E22" s="53">
        <f>SUM(F22:I22)</f>
        <v>139497410</v>
      </c>
      <c r="F22" s="54"/>
      <c r="G22" s="54">
        <f>139378760+118650</f>
        <v>139497410</v>
      </c>
      <c r="H22" s="54"/>
      <c r="I22" s="54"/>
      <c r="J22" s="151"/>
      <c r="K22" s="151"/>
    </row>
    <row r="23" spans="1:11" ht="28.5" customHeight="1">
      <c r="A23" s="157" t="s">
        <v>397</v>
      </c>
      <c r="B23" s="158" t="s">
        <v>90</v>
      </c>
      <c r="C23" s="157" t="s">
        <v>43</v>
      </c>
      <c r="D23" s="52" t="s">
        <v>395</v>
      </c>
      <c r="E23" s="53">
        <f>SUM(E24:E26)</f>
        <v>427945780.3</v>
      </c>
      <c r="F23" s="53">
        <f>SUM(F24:F26)</f>
        <v>0</v>
      </c>
      <c r="G23" s="53">
        <f>SUM(G24:G26)</f>
        <v>427945780.3</v>
      </c>
      <c r="H23" s="53">
        <f>SUM(H24:H26)</f>
        <v>0</v>
      </c>
      <c r="I23" s="53">
        <f>SUM(I24:I26)</f>
        <v>0</v>
      </c>
      <c r="J23" s="150" t="s">
        <v>161</v>
      </c>
      <c r="K23" s="150" t="s">
        <v>165</v>
      </c>
    </row>
    <row r="24" spans="1:11" ht="28.5" customHeight="1">
      <c r="A24" s="157"/>
      <c r="B24" s="158"/>
      <c r="C24" s="157"/>
      <c r="D24" s="52">
        <v>2014</v>
      </c>
      <c r="E24" s="53">
        <f>SUM(F24:I24)</f>
        <v>137514399.3</v>
      </c>
      <c r="F24" s="54"/>
      <c r="G24" s="54">
        <f>137409203.9+223820*0.47</f>
        <v>137514399.3</v>
      </c>
      <c r="H24" s="54"/>
      <c r="I24" s="54"/>
      <c r="J24" s="151"/>
      <c r="K24" s="151"/>
    </row>
    <row r="25" spans="1:11" ht="28.5" customHeight="1">
      <c r="A25" s="157"/>
      <c r="B25" s="158"/>
      <c r="C25" s="157"/>
      <c r="D25" s="52">
        <v>2015</v>
      </c>
      <c r="E25" s="53">
        <f>SUM(F25:I25)</f>
        <v>136405158</v>
      </c>
      <c r="F25" s="54"/>
      <c r="G25" s="54">
        <f>136286430+118728</f>
        <v>136405158</v>
      </c>
      <c r="H25" s="54"/>
      <c r="I25" s="54"/>
      <c r="J25" s="151"/>
      <c r="K25" s="151"/>
    </row>
    <row r="26" spans="1:11" ht="28.5" customHeight="1">
      <c r="A26" s="157"/>
      <c r="B26" s="158"/>
      <c r="C26" s="157"/>
      <c r="D26" s="52">
        <v>2016</v>
      </c>
      <c r="E26" s="53">
        <f>SUM(F26:I26)</f>
        <v>154026223</v>
      </c>
      <c r="F26" s="54"/>
      <c r="G26" s="54">
        <f>153902730+123493</f>
        <v>154026223</v>
      </c>
      <c r="H26" s="54"/>
      <c r="I26" s="54"/>
      <c r="J26" s="151"/>
      <c r="K26" s="151"/>
    </row>
    <row r="27" spans="1:11" ht="30" customHeight="1">
      <c r="A27" s="154" t="s">
        <v>424</v>
      </c>
      <c r="B27" s="159" t="s">
        <v>293</v>
      </c>
      <c r="C27" s="154" t="s">
        <v>43</v>
      </c>
      <c r="D27" s="52" t="s">
        <v>395</v>
      </c>
      <c r="E27" s="53">
        <f>SUM(E28:E30)</f>
        <v>125834790.9</v>
      </c>
      <c r="F27" s="53">
        <f>SUM(F28:F30)</f>
        <v>0</v>
      </c>
      <c r="G27" s="53">
        <f>SUM(G28:G30)</f>
        <v>125834790.9</v>
      </c>
      <c r="H27" s="53">
        <f>SUM(H28:H30)</f>
        <v>0</v>
      </c>
      <c r="I27" s="53">
        <f>SUM(I28:I30)</f>
        <v>0</v>
      </c>
      <c r="J27" s="150" t="s">
        <v>162</v>
      </c>
      <c r="K27" s="150" t="s">
        <v>165</v>
      </c>
    </row>
    <row r="28" spans="1:11" ht="30" customHeight="1">
      <c r="A28" s="155"/>
      <c r="B28" s="160"/>
      <c r="C28" s="155"/>
      <c r="D28" s="52">
        <v>2014</v>
      </c>
      <c r="E28" s="53">
        <f>SUM(F28:I28)</f>
        <v>39462578.9</v>
      </c>
      <c r="F28" s="54"/>
      <c r="G28" s="54">
        <v>39462578.9</v>
      </c>
      <c r="H28" s="54"/>
      <c r="I28" s="54"/>
      <c r="J28" s="151"/>
      <c r="K28" s="151"/>
    </row>
    <row r="29" spans="1:11" ht="30" customHeight="1">
      <c r="A29" s="155"/>
      <c r="B29" s="160"/>
      <c r="C29" s="155"/>
      <c r="D29" s="52">
        <v>2015</v>
      </c>
      <c r="E29" s="53">
        <f>SUM(F29:I29)</f>
        <v>41561702</v>
      </c>
      <c r="F29" s="54"/>
      <c r="G29" s="54">
        <v>41561702</v>
      </c>
      <c r="H29" s="54"/>
      <c r="I29" s="54"/>
      <c r="J29" s="151"/>
      <c r="K29" s="151"/>
    </row>
    <row r="30" spans="1:11" ht="30" customHeight="1">
      <c r="A30" s="156"/>
      <c r="B30" s="161"/>
      <c r="C30" s="156"/>
      <c r="D30" s="52">
        <v>2016</v>
      </c>
      <c r="E30" s="53">
        <f>SUM(F30:I30)</f>
        <v>44810510</v>
      </c>
      <c r="F30" s="54"/>
      <c r="G30" s="54">
        <f>41561702+3248808</f>
        <v>44810510</v>
      </c>
      <c r="H30" s="54"/>
      <c r="I30" s="54"/>
      <c r="J30" s="151"/>
      <c r="K30" s="151"/>
    </row>
    <row r="31" spans="1:11" ht="15" hidden="1">
      <c r="A31" s="154" t="s">
        <v>4</v>
      </c>
      <c r="B31" s="159" t="s">
        <v>61</v>
      </c>
      <c r="C31" s="154" t="s">
        <v>43</v>
      </c>
      <c r="D31" s="52" t="s">
        <v>395</v>
      </c>
      <c r="E31" s="53">
        <f>SUM(E32:E34)</f>
        <v>0</v>
      </c>
      <c r="F31" s="53">
        <f>SUM(F32:F34)</f>
        <v>0</v>
      </c>
      <c r="G31" s="53">
        <f>SUM(G32:G34)</f>
        <v>0</v>
      </c>
      <c r="H31" s="53">
        <f>SUM(H32:H34)</f>
        <v>0</v>
      </c>
      <c r="I31" s="53">
        <f>SUM(I32:I34)</f>
        <v>0</v>
      </c>
      <c r="J31" s="149" t="s">
        <v>155</v>
      </c>
      <c r="K31" s="150" t="s">
        <v>165</v>
      </c>
    </row>
    <row r="32" spans="1:11" ht="15" hidden="1">
      <c r="A32" s="155"/>
      <c r="B32" s="160"/>
      <c r="C32" s="155"/>
      <c r="D32" s="52">
        <v>2014</v>
      </c>
      <c r="E32" s="53">
        <f>SUM(F32:I32)</f>
        <v>0</v>
      </c>
      <c r="F32" s="54"/>
      <c r="G32" s="54">
        <v>0</v>
      </c>
      <c r="H32" s="54"/>
      <c r="I32" s="54"/>
      <c r="J32" s="165"/>
      <c r="K32" s="151"/>
    </row>
    <row r="33" spans="1:11" ht="15" hidden="1">
      <c r="A33" s="155"/>
      <c r="B33" s="160"/>
      <c r="C33" s="155"/>
      <c r="D33" s="52">
        <v>2015</v>
      </c>
      <c r="E33" s="53">
        <f>SUM(F33:I33)</f>
        <v>0</v>
      </c>
      <c r="F33" s="54"/>
      <c r="G33" s="54">
        <v>0</v>
      </c>
      <c r="H33" s="54"/>
      <c r="I33" s="54"/>
      <c r="J33" s="165"/>
      <c r="K33" s="151"/>
    </row>
    <row r="34" spans="1:11" ht="16.5" customHeight="1" hidden="1">
      <c r="A34" s="156"/>
      <c r="B34" s="161"/>
      <c r="C34" s="156"/>
      <c r="D34" s="52">
        <v>2016</v>
      </c>
      <c r="E34" s="53">
        <f>SUM(F34:I34)</f>
        <v>0</v>
      </c>
      <c r="F34" s="54"/>
      <c r="G34" s="54">
        <v>0</v>
      </c>
      <c r="H34" s="54"/>
      <c r="I34" s="54"/>
      <c r="J34" s="165"/>
      <c r="K34" s="151"/>
    </row>
    <row r="35" spans="1:12" ht="26.25" customHeight="1">
      <c r="A35" s="154" t="s">
        <v>6</v>
      </c>
      <c r="B35" s="159" t="s">
        <v>114</v>
      </c>
      <c r="C35" s="154" t="s">
        <v>43</v>
      </c>
      <c r="D35" s="52" t="s">
        <v>395</v>
      </c>
      <c r="E35" s="53">
        <f>SUM(E36:E38)</f>
        <v>7547092</v>
      </c>
      <c r="F35" s="53">
        <f>SUM(F36:F38)</f>
        <v>0</v>
      </c>
      <c r="G35" s="53">
        <f>SUM(G36:G38)</f>
        <v>7547092</v>
      </c>
      <c r="H35" s="53">
        <f>SUM(H36:H38)</f>
        <v>0</v>
      </c>
      <c r="I35" s="53">
        <f>SUM(I36:I38)</f>
        <v>0</v>
      </c>
      <c r="J35" s="150" t="s">
        <v>156</v>
      </c>
      <c r="K35" s="150" t="s">
        <v>165</v>
      </c>
      <c r="L35" s="66"/>
    </row>
    <row r="36" spans="1:12" ht="26.25" customHeight="1">
      <c r="A36" s="155"/>
      <c r="B36" s="160"/>
      <c r="C36" s="155"/>
      <c r="D36" s="52">
        <v>2014</v>
      </c>
      <c r="E36" s="53">
        <f>SUM(F36:I36)</f>
        <v>4583344</v>
      </c>
      <c r="F36" s="54"/>
      <c r="G36" s="54">
        <v>4583344</v>
      </c>
      <c r="H36" s="54"/>
      <c r="I36" s="54"/>
      <c r="J36" s="151"/>
      <c r="K36" s="151"/>
      <c r="L36" s="66"/>
    </row>
    <row r="37" spans="1:12" ht="26.25" customHeight="1">
      <c r="A37" s="155"/>
      <c r="B37" s="160"/>
      <c r="C37" s="155"/>
      <c r="D37" s="52">
        <v>2015</v>
      </c>
      <c r="E37" s="53">
        <f>SUM(F37:I37)</f>
        <v>1550022</v>
      </c>
      <c r="F37" s="54"/>
      <c r="G37" s="54">
        <v>1550022</v>
      </c>
      <c r="H37" s="54"/>
      <c r="I37" s="54"/>
      <c r="J37" s="151"/>
      <c r="K37" s="151"/>
      <c r="L37" s="66"/>
    </row>
    <row r="38" spans="1:11" ht="26.25" customHeight="1">
      <c r="A38" s="156"/>
      <c r="B38" s="161"/>
      <c r="C38" s="156"/>
      <c r="D38" s="52">
        <v>2016</v>
      </c>
      <c r="E38" s="53">
        <f>SUM(F38:I38)</f>
        <v>1413726</v>
      </c>
      <c r="F38" s="54"/>
      <c r="G38" s="54">
        <v>1413726</v>
      </c>
      <c r="H38" s="54"/>
      <c r="I38" s="54"/>
      <c r="J38" s="151"/>
      <c r="K38" s="151"/>
    </row>
    <row r="39" spans="1:11" ht="27" customHeight="1">
      <c r="A39" s="154" t="s">
        <v>38</v>
      </c>
      <c r="B39" s="159" t="s">
        <v>115</v>
      </c>
      <c r="C39" s="154" t="s">
        <v>43</v>
      </c>
      <c r="D39" s="52" t="s">
        <v>395</v>
      </c>
      <c r="E39" s="53">
        <f>SUM(E40:E42)</f>
        <v>14980683</v>
      </c>
      <c r="F39" s="53">
        <f>SUM(F40:F42)</f>
        <v>0</v>
      </c>
      <c r="G39" s="53">
        <f>SUM(G40:G42)</f>
        <v>14980683</v>
      </c>
      <c r="H39" s="53">
        <f>SUM(H40:H42)</f>
        <v>0</v>
      </c>
      <c r="I39" s="53">
        <f>SUM(I40:I42)</f>
        <v>0</v>
      </c>
      <c r="J39" s="150" t="s">
        <v>157</v>
      </c>
      <c r="K39" s="150" t="s">
        <v>165</v>
      </c>
    </row>
    <row r="40" spans="1:11" ht="27" customHeight="1">
      <c r="A40" s="155"/>
      <c r="B40" s="160"/>
      <c r="C40" s="155"/>
      <c r="D40" s="52">
        <v>2014</v>
      </c>
      <c r="E40" s="53">
        <f>SUM(F40:I40)</f>
        <v>5476997</v>
      </c>
      <c r="F40" s="54"/>
      <c r="G40" s="54">
        <v>5476997</v>
      </c>
      <c r="H40" s="54"/>
      <c r="I40" s="54"/>
      <c r="J40" s="151"/>
      <c r="K40" s="151"/>
    </row>
    <row r="41" spans="1:11" ht="27" customHeight="1">
      <c r="A41" s="155"/>
      <c r="B41" s="160"/>
      <c r="C41" s="155"/>
      <c r="D41" s="52">
        <v>2015</v>
      </c>
      <c r="E41" s="53">
        <f>SUM(F41:I41)</f>
        <v>2906295</v>
      </c>
      <c r="F41" s="54"/>
      <c r="G41" s="54">
        <v>2906295</v>
      </c>
      <c r="H41" s="54"/>
      <c r="I41" s="54"/>
      <c r="J41" s="151"/>
      <c r="K41" s="151"/>
    </row>
    <row r="42" spans="1:11" ht="27" customHeight="1">
      <c r="A42" s="156"/>
      <c r="B42" s="161"/>
      <c r="C42" s="156"/>
      <c r="D42" s="52">
        <v>2016</v>
      </c>
      <c r="E42" s="53">
        <f>SUM(F42:I42)</f>
        <v>6597391</v>
      </c>
      <c r="F42" s="54"/>
      <c r="G42" s="54">
        <v>6597391</v>
      </c>
      <c r="H42" s="54"/>
      <c r="I42" s="54"/>
      <c r="J42" s="151"/>
      <c r="K42" s="151"/>
    </row>
    <row r="43" spans="1:11" ht="27" customHeight="1">
      <c r="A43" s="154" t="s">
        <v>44</v>
      </c>
      <c r="B43" s="159" t="s">
        <v>444</v>
      </c>
      <c r="C43" s="154" t="s">
        <v>43</v>
      </c>
      <c r="D43" s="52" t="s">
        <v>395</v>
      </c>
      <c r="E43" s="53">
        <f>SUM(E44:E46)</f>
        <v>286459</v>
      </c>
      <c r="F43" s="53">
        <f>SUM(F44:F46)</f>
        <v>0</v>
      </c>
      <c r="G43" s="53">
        <f>SUM(G44:G46)</f>
        <v>286459</v>
      </c>
      <c r="H43" s="53">
        <f>SUM(H44:H46)</f>
        <v>0</v>
      </c>
      <c r="I43" s="53">
        <f>SUM(I44:I46)</f>
        <v>0</v>
      </c>
      <c r="J43" s="150" t="s">
        <v>158</v>
      </c>
      <c r="K43" s="150" t="s">
        <v>165</v>
      </c>
    </row>
    <row r="44" spans="1:11" ht="27" customHeight="1">
      <c r="A44" s="155"/>
      <c r="B44" s="160"/>
      <c r="C44" s="155"/>
      <c r="D44" s="52">
        <v>2014</v>
      </c>
      <c r="E44" s="53">
        <f>SUM(F44:I44)</f>
        <v>286459</v>
      </c>
      <c r="F44" s="54"/>
      <c r="G44" s="54">
        <v>286459</v>
      </c>
      <c r="H44" s="54"/>
      <c r="I44" s="54"/>
      <c r="J44" s="151"/>
      <c r="K44" s="151"/>
    </row>
    <row r="45" spans="1:11" ht="27" customHeight="1">
      <c r="A45" s="155"/>
      <c r="B45" s="160"/>
      <c r="C45" s="155"/>
      <c r="D45" s="52">
        <v>2015</v>
      </c>
      <c r="E45" s="53">
        <f>SUM(F45:I45)</f>
        <v>0</v>
      </c>
      <c r="F45" s="54"/>
      <c r="G45" s="54">
        <v>0</v>
      </c>
      <c r="H45" s="54"/>
      <c r="I45" s="54"/>
      <c r="J45" s="151"/>
      <c r="K45" s="151"/>
    </row>
    <row r="46" spans="1:11" ht="27" customHeight="1">
      <c r="A46" s="156"/>
      <c r="B46" s="160"/>
      <c r="C46" s="156"/>
      <c r="D46" s="52">
        <v>2016</v>
      </c>
      <c r="E46" s="53">
        <f>SUM(F46:I46)</f>
        <v>0</v>
      </c>
      <c r="F46" s="54"/>
      <c r="G46" s="54">
        <v>0</v>
      </c>
      <c r="H46" s="54"/>
      <c r="I46" s="54"/>
      <c r="J46" s="151"/>
      <c r="K46" s="151"/>
    </row>
    <row r="47" spans="1:11" ht="33.75" customHeight="1">
      <c r="A47" s="154" t="s">
        <v>45</v>
      </c>
      <c r="B47" s="67" t="s">
        <v>116</v>
      </c>
      <c r="C47" s="189" t="s">
        <v>43</v>
      </c>
      <c r="D47" s="52" t="s">
        <v>395</v>
      </c>
      <c r="E47" s="53">
        <f>SUM(E48:E50)</f>
        <v>302347669</v>
      </c>
      <c r="F47" s="53">
        <f>SUM(F48:F50)</f>
        <v>302347669</v>
      </c>
      <c r="G47" s="53">
        <f>SUM(G48:G50)</f>
        <v>0</v>
      </c>
      <c r="H47" s="53">
        <f>SUM(H48:H50)</f>
        <v>0</v>
      </c>
      <c r="I47" s="53">
        <f>SUM(I48:I50)</f>
        <v>0</v>
      </c>
      <c r="J47" s="184" t="s">
        <v>159</v>
      </c>
      <c r="K47" s="150" t="s">
        <v>165</v>
      </c>
    </row>
    <row r="48" spans="1:12" ht="26.25" customHeight="1">
      <c r="A48" s="155"/>
      <c r="B48" s="68" t="s">
        <v>294</v>
      </c>
      <c r="C48" s="190"/>
      <c r="D48" s="52">
        <v>2014</v>
      </c>
      <c r="E48" s="53">
        <f>SUM(F48:I48)</f>
        <v>99968803</v>
      </c>
      <c r="F48" s="54">
        <v>99968803</v>
      </c>
      <c r="G48" s="54"/>
      <c r="H48" s="54"/>
      <c r="I48" s="54"/>
      <c r="J48" s="182"/>
      <c r="K48" s="151"/>
      <c r="L48" s="66"/>
    </row>
    <row r="49" spans="1:12" ht="34.5" customHeight="1">
      <c r="A49" s="155"/>
      <c r="B49" s="192" t="s">
        <v>295</v>
      </c>
      <c r="C49" s="190"/>
      <c r="D49" s="52">
        <v>2015</v>
      </c>
      <c r="E49" s="53">
        <f>SUM(F49:I49)</f>
        <v>100750686</v>
      </c>
      <c r="F49" s="54">
        <v>100750686</v>
      </c>
      <c r="G49" s="54"/>
      <c r="H49" s="54"/>
      <c r="I49" s="54"/>
      <c r="J49" s="182"/>
      <c r="K49" s="151"/>
      <c r="L49" s="66"/>
    </row>
    <row r="50" spans="1:12" ht="25.5" customHeight="1">
      <c r="A50" s="156"/>
      <c r="B50" s="193"/>
      <c r="C50" s="191"/>
      <c r="D50" s="52">
        <v>2016</v>
      </c>
      <c r="E50" s="53">
        <f>SUM(F50:I50)</f>
        <v>101628180</v>
      </c>
      <c r="F50" s="54">
        <v>101628180</v>
      </c>
      <c r="G50" s="54"/>
      <c r="H50" s="54"/>
      <c r="I50" s="54"/>
      <c r="J50" s="183"/>
      <c r="K50" s="151"/>
      <c r="L50" s="66"/>
    </row>
    <row r="51" spans="1:11" ht="27" customHeight="1">
      <c r="A51" s="154" t="s">
        <v>64</v>
      </c>
      <c r="B51" s="159" t="s">
        <v>117</v>
      </c>
      <c r="C51" s="154" t="s">
        <v>43</v>
      </c>
      <c r="D51" s="52" t="s">
        <v>395</v>
      </c>
      <c r="E51" s="53">
        <f>F51+G51+I51</f>
        <v>4328731</v>
      </c>
      <c r="F51" s="53">
        <f>F52+F53+F54</f>
        <v>0</v>
      </c>
      <c r="G51" s="53">
        <f>G52+G53+G54</f>
        <v>4328731</v>
      </c>
      <c r="H51" s="53">
        <v>0</v>
      </c>
      <c r="I51" s="53">
        <f>I52+I53+I54</f>
        <v>0</v>
      </c>
      <c r="J51" s="150" t="s">
        <v>300</v>
      </c>
      <c r="K51" s="150" t="s">
        <v>165</v>
      </c>
    </row>
    <row r="52" spans="1:11" ht="27" customHeight="1">
      <c r="A52" s="155"/>
      <c r="B52" s="160"/>
      <c r="C52" s="155"/>
      <c r="D52" s="52">
        <v>2014</v>
      </c>
      <c r="E52" s="54">
        <f>F52+G52+I52</f>
        <v>1506400</v>
      </c>
      <c r="F52" s="54">
        <v>0</v>
      </c>
      <c r="G52" s="54">
        <f>1676200-169800</f>
        <v>1506400</v>
      </c>
      <c r="H52" s="54">
        <v>0</v>
      </c>
      <c r="I52" s="54">
        <v>0</v>
      </c>
      <c r="J52" s="155"/>
      <c r="K52" s="151"/>
    </row>
    <row r="53" spans="1:11" ht="27" customHeight="1">
      <c r="A53" s="155"/>
      <c r="B53" s="160"/>
      <c r="C53" s="155"/>
      <c r="D53" s="52">
        <v>2015</v>
      </c>
      <c r="E53" s="54">
        <f>F53+G53+I53</f>
        <v>1420540</v>
      </c>
      <c r="F53" s="54">
        <v>0</v>
      </c>
      <c r="G53" s="54">
        <f>4540+1848600-432600</f>
        <v>1420540</v>
      </c>
      <c r="H53" s="54">
        <v>0</v>
      </c>
      <c r="I53" s="54">
        <v>0</v>
      </c>
      <c r="J53" s="155"/>
      <c r="K53" s="151"/>
    </row>
    <row r="54" spans="1:11" ht="27" customHeight="1">
      <c r="A54" s="156"/>
      <c r="B54" s="161"/>
      <c r="C54" s="156"/>
      <c r="D54" s="52">
        <v>2016</v>
      </c>
      <c r="E54" s="54">
        <f>F54+G54+I54</f>
        <v>1401791</v>
      </c>
      <c r="F54" s="54">
        <v>0</v>
      </c>
      <c r="G54" s="54">
        <f>4540+2000151-602900</f>
        <v>1401791</v>
      </c>
      <c r="H54" s="54">
        <v>0</v>
      </c>
      <c r="I54" s="54">
        <v>0</v>
      </c>
      <c r="J54" s="155"/>
      <c r="K54" s="151"/>
    </row>
    <row r="55" spans="1:11" ht="24" customHeight="1">
      <c r="A55" s="154" t="s">
        <v>65</v>
      </c>
      <c r="B55" s="159" t="s">
        <v>118</v>
      </c>
      <c r="C55" s="154" t="s">
        <v>43</v>
      </c>
      <c r="D55" s="52" t="s">
        <v>395</v>
      </c>
      <c r="E55" s="53">
        <f>SUM(E56:E58)</f>
        <v>4211115</v>
      </c>
      <c r="F55" s="53">
        <f>SUM(F56:F58)</f>
        <v>0</v>
      </c>
      <c r="G55" s="53">
        <f>SUM(G56:G58)</f>
        <v>0</v>
      </c>
      <c r="H55" s="53">
        <f>SUM(H56:H58)</f>
        <v>0</v>
      </c>
      <c r="I55" s="53">
        <f>SUM(I56:I58)</f>
        <v>4211115</v>
      </c>
      <c r="J55" s="149" t="s">
        <v>154</v>
      </c>
      <c r="K55" s="150" t="s">
        <v>165</v>
      </c>
    </row>
    <row r="56" spans="1:11" ht="24" customHeight="1">
      <c r="A56" s="155"/>
      <c r="B56" s="160"/>
      <c r="C56" s="155"/>
      <c r="D56" s="52">
        <v>2014</v>
      </c>
      <c r="E56" s="53">
        <f>SUM(F56:I56)</f>
        <v>1403705</v>
      </c>
      <c r="F56" s="54"/>
      <c r="G56" s="54"/>
      <c r="H56" s="54"/>
      <c r="I56" s="54">
        <v>1403705</v>
      </c>
      <c r="J56" s="165"/>
      <c r="K56" s="151"/>
    </row>
    <row r="57" spans="1:11" ht="24" customHeight="1">
      <c r="A57" s="155"/>
      <c r="B57" s="160"/>
      <c r="C57" s="155"/>
      <c r="D57" s="52">
        <v>2015</v>
      </c>
      <c r="E57" s="53">
        <f>SUM(F57:I57)</f>
        <v>1403705</v>
      </c>
      <c r="F57" s="54"/>
      <c r="G57" s="54"/>
      <c r="H57" s="54"/>
      <c r="I57" s="54">
        <v>1403705</v>
      </c>
      <c r="J57" s="165"/>
      <c r="K57" s="151"/>
    </row>
    <row r="58" spans="1:11" ht="24" customHeight="1">
      <c r="A58" s="156"/>
      <c r="B58" s="161"/>
      <c r="C58" s="156"/>
      <c r="D58" s="52">
        <v>2016</v>
      </c>
      <c r="E58" s="53">
        <f>SUM(F58:I58)</f>
        <v>1403705</v>
      </c>
      <c r="F58" s="54"/>
      <c r="G58" s="54"/>
      <c r="H58" s="54"/>
      <c r="I58" s="54">
        <v>1403705</v>
      </c>
      <c r="J58" s="165"/>
      <c r="K58" s="151"/>
    </row>
    <row r="59" spans="1:11" ht="20.25" customHeight="1">
      <c r="A59" s="157" t="s">
        <v>400</v>
      </c>
      <c r="B59" s="158" t="s">
        <v>251</v>
      </c>
      <c r="C59" s="149" t="s">
        <v>43</v>
      </c>
      <c r="D59" s="52" t="s">
        <v>395</v>
      </c>
      <c r="E59" s="53">
        <f>SUM(E60:E62)</f>
        <v>675185387.97</v>
      </c>
      <c r="F59" s="53">
        <f>SUM(F60:F62)</f>
        <v>573445432.97</v>
      </c>
      <c r="G59" s="53">
        <f>SUM(G60:G62)</f>
        <v>0</v>
      </c>
      <c r="H59" s="53">
        <f>SUM(H60:H62)</f>
        <v>0</v>
      </c>
      <c r="I59" s="53">
        <f>SUM(I60:I62)</f>
        <v>101739955</v>
      </c>
      <c r="J59" s="150"/>
      <c r="K59" s="150"/>
    </row>
    <row r="60" spans="1:11" ht="20.25" customHeight="1">
      <c r="A60" s="157"/>
      <c r="B60" s="158"/>
      <c r="C60" s="149"/>
      <c r="D60" s="52">
        <v>2014</v>
      </c>
      <c r="E60" s="53">
        <f>SUM(F60:I60)</f>
        <v>219253428.97</v>
      </c>
      <c r="F60" s="54">
        <f aca="true" t="shared" si="2" ref="F60:I62">F64+F68+F72+F76+F80+F84</f>
        <v>186137433.97</v>
      </c>
      <c r="G60" s="54">
        <f t="shared" si="2"/>
        <v>0</v>
      </c>
      <c r="H60" s="54">
        <f t="shared" si="2"/>
        <v>0</v>
      </c>
      <c r="I60" s="54">
        <f t="shared" si="2"/>
        <v>33115995</v>
      </c>
      <c r="J60" s="151"/>
      <c r="K60" s="151"/>
    </row>
    <row r="61" spans="1:11" ht="20.25" customHeight="1">
      <c r="A61" s="157"/>
      <c r="B61" s="158"/>
      <c r="C61" s="149"/>
      <c r="D61" s="52">
        <v>2015</v>
      </c>
      <c r="E61" s="53">
        <f>SUM(F61:I61)</f>
        <v>225498627</v>
      </c>
      <c r="F61" s="54">
        <f t="shared" si="2"/>
        <v>191351962</v>
      </c>
      <c r="G61" s="54">
        <f t="shared" si="2"/>
        <v>0</v>
      </c>
      <c r="H61" s="54">
        <f t="shared" si="2"/>
        <v>0</v>
      </c>
      <c r="I61" s="54">
        <f t="shared" si="2"/>
        <v>34146665</v>
      </c>
      <c r="J61" s="151"/>
      <c r="K61" s="151"/>
    </row>
    <row r="62" spans="1:11" ht="20.25" customHeight="1">
      <c r="A62" s="157"/>
      <c r="B62" s="158"/>
      <c r="C62" s="149"/>
      <c r="D62" s="52">
        <v>2016</v>
      </c>
      <c r="E62" s="53">
        <f>SUM(F62:I62)</f>
        <v>230433332</v>
      </c>
      <c r="F62" s="54">
        <f t="shared" si="2"/>
        <v>195956037</v>
      </c>
      <c r="G62" s="54">
        <f t="shared" si="2"/>
        <v>0</v>
      </c>
      <c r="H62" s="54">
        <f t="shared" si="2"/>
        <v>0</v>
      </c>
      <c r="I62" s="54">
        <f t="shared" si="2"/>
        <v>34477295</v>
      </c>
      <c r="J62" s="151"/>
      <c r="K62" s="151"/>
    </row>
    <row r="63" spans="1:11" ht="15">
      <c r="A63" s="185" t="s">
        <v>401</v>
      </c>
      <c r="B63" s="186" t="s">
        <v>296</v>
      </c>
      <c r="C63" s="154" t="s">
        <v>43</v>
      </c>
      <c r="D63" s="52" t="s">
        <v>395</v>
      </c>
      <c r="E63" s="53">
        <f>SUM(E64:E66)</f>
        <v>511420941</v>
      </c>
      <c r="F63" s="53">
        <f>SUM(F64:F66)</f>
        <v>511420941</v>
      </c>
      <c r="G63" s="53">
        <f>SUM(G64:G66)</f>
        <v>0</v>
      </c>
      <c r="H63" s="53">
        <f>SUM(H64:H66)</f>
        <v>0</v>
      </c>
      <c r="I63" s="53">
        <f>SUM(I64:I66)</f>
        <v>0</v>
      </c>
      <c r="J63" s="184" t="s">
        <v>163</v>
      </c>
      <c r="K63" s="149" t="s">
        <v>166</v>
      </c>
    </row>
    <row r="64" spans="1:12" ht="26.25" customHeight="1">
      <c r="A64" s="155"/>
      <c r="B64" s="187"/>
      <c r="C64" s="155"/>
      <c r="D64" s="52">
        <v>2014</v>
      </c>
      <c r="E64" s="53">
        <f>SUM(F64:I64)</f>
        <v>165597360</v>
      </c>
      <c r="F64" s="54">
        <f>166212453-615093</f>
        <v>165597360</v>
      </c>
      <c r="G64" s="54"/>
      <c r="H64" s="54"/>
      <c r="I64" s="54"/>
      <c r="J64" s="155"/>
      <c r="K64" s="149"/>
      <c r="L64" s="66"/>
    </row>
    <row r="65" spans="1:12" ht="22.5" customHeight="1">
      <c r="A65" s="155"/>
      <c r="B65" s="187"/>
      <c r="C65" s="155"/>
      <c r="D65" s="52">
        <v>2015</v>
      </c>
      <c r="E65" s="53">
        <f>SUM(F65:I65)</f>
        <v>170605071</v>
      </c>
      <c r="F65" s="54">
        <v>170605071</v>
      </c>
      <c r="G65" s="54"/>
      <c r="H65" s="54"/>
      <c r="I65" s="54"/>
      <c r="J65" s="155"/>
      <c r="K65" s="149"/>
      <c r="L65" s="66"/>
    </row>
    <row r="66" spans="1:12" ht="23.25" customHeight="1">
      <c r="A66" s="156"/>
      <c r="B66" s="188"/>
      <c r="C66" s="156"/>
      <c r="D66" s="52">
        <v>2016</v>
      </c>
      <c r="E66" s="53">
        <f>SUM(F66:I66)</f>
        <v>175218510</v>
      </c>
      <c r="F66" s="54">
        <v>175218510</v>
      </c>
      <c r="G66" s="54"/>
      <c r="H66" s="54"/>
      <c r="I66" s="54"/>
      <c r="J66" s="156"/>
      <c r="K66" s="149"/>
      <c r="L66" s="66"/>
    </row>
    <row r="67" spans="1:11" ht="23.25" customHeight="1">
      <c r="A67" s="154" t="s">
        <v>404</v>
      </c>
      <c r="B67" s="159" t="s">
        <v>297</v>
      </c>
      <c r="C67" s="154" t="s">
        <v>43</v>
      </c>
      <c r="D67" s="52" t="s">
        <v>395</v>
      </c>
      <c r="E67" s="53">
        <f>SUM(E68:E70)</f>
        <v>37243452.97</v>
      </c>
      <c r="F67" s="53">
        <f>SUM(F68:F70)</f>
        <v>37243452.97</v>
      </c>
      <c r="G67" s="53">
        <f>SUM(G68:G70)</f>
        <v>0</v>
      </c>
      <c r="H67" s="53">
        <f>SUM(H68:H70)</f>
        <v>0</v>
      </c>
      <c r="I67" s="53">
        <f>SUM(I68:I70)</f>
        <v>0</v>
      </c>
      <c r="J67" s="184" t="s">
        <v>164</v>
      </c>
      <c r="K67" s="149" t="s">
        <v>166</v>
      </c>
    </row>
    <row r="68" spans="1:11" ht="25.5" customHeight="1">
      <c r="A68" s="155"/>
      <c r="B68" s="160"/>
      <c r="C68" s="155"/>
      <c r="D68" s="52">
        <v>2014</v>
      </c>
      <c r="E68" s="53">
        <f>SUM(F68:I68)</f>
        <v>12512827.97</v>
      </c>
      <c r="F68" s="54">
        <f>12745116-232288.03</f>
        <v>12512827.97</v>
      </c>
      <c r="G68" s="54"/>
      <c r="H68" s="54"/>
      <c r="I68" s="54"/>
      <c r="J68" s="182"/>
      <c r="K68" s="149"/>
    </row>
    <row r="69" spans="1:11" ht="19.5" customHeight="1">
      <c r="A69" s="155"/>
      <c r="B69" s="160"/>
      <c r="C69" s="155"/>
      <c r="D69" s="52">
        <v>2015</v>
      </c>
      <c r="E69" s="53">
        <f>SUM(F69:I69)</f>
        <v>12490215</v>
      </c>
      <c r="F69" s="54">
        <v>12490215</v>
      </c>
      <c r="G69" s="54"/>
      <c r="H69" s="54"/>
      <c r="I69" s="54"/>
      <c r="J69" s="182"/>
      <c r="K69" s="149"/>
    </row>
    <row r="70" spans="1:12" ht="22.5" customHeight="1">
      <c r="A70" s="156"/>
      <c r="B70" s="161"/>
      <c r="C70" s="156"/>
      <c r="D70" s="52">
        <v>2016</v>
      </c>
      <c r="E70" s="53">
        <f>SUM(F70:I70)</f>
        <v>12240410</v>
      </c>
      <c r="F70" s="54">
        <v>12240410</v>
      </c>
      <c r="G70" s="54"/>
      <c r="H70" s="54"/>
      <c r="I70" s="54"/>
      <c r="J70" s="183"/>
      <c r="K70" s="149"/>
      <c r="L70" s="66"/>
    </row>
    <row r="71" spans="1:11" ht="24" customHeight="1">
      <c r="A71" s="154" t="s">
        <v>146</v>
      </c>
      <c r="B71" s="159" t="s">
        <v>298</v>
      </c>
      <c r="C71" s="154" t="s">
        <v>43</v>
      </c>
      <c r="D71" s="52" t="s">
        <v>395</v>
      </c>
      <c r="E71" s="53">
        <f>SUM(E72:E74)</f>
        <v>75489955</v>
      </c>
      <c r="F71" s="53">
        <f>SUM(F72:F74)</f>
        <v>0</v>
      </c>
      <c r="G71" s="53">
        <f>SUM(G72:G74)</f>
        <v>0</v>
      </c>
      <c r="H71" s="53">
        <f>SUM(H72:H74)</f>
        <v>0</v>
      </c>
      <c r="I71" s="53">
        <f>SUM(I72:I74)</f>
        <v>75489955</v>
      </c>
      <c r="J71" s="149" t="s">
        <v>121</v>
      </c>
      <c r="K71" s="149" t="s">
        <v>166</v>
      </c>
    </row>
    <row r="72" spans="1:11" ht="24" customHeight="1">
      <c r="A72" s="155"/>
      <c r="B72" s="160"/>
      <c r="C72" s="155"/>
      <c r="D72" s="52">
        <v>2014</v>
      </c>
      <c r="E72" s="53">
        <f>SUM(F72:I72)</f>
        <v>24365995</v>
      </c>
      <c r="F72" s="54"/>
      <c r="G72" s="54"/>
      <c r="H72" s="54"/>
      <c r="I72" s="54">
        <f>25769700-I56</f>
        <v>24365995</v>
      </c>
      <c r="J72" s="165"/>
      <c r="K72" s="149"/>
    </row>
    <row r="73" spans="1:11" ht="24" customHeight="1">
      <c r="A73" s="155"/>
      <c r="B73" s="160"/>
      <c r="C73" s="155"/>
      <c r="D73" s="52">
        <v>2015</v>
      </c>
      <c r="E73" s="53">
        <f>SUM(F73:I73)</f>
        <v>25396665</v>
      </c>
      <c r="F73" s="54"/>
      <c r="G73" s="54"/>
      <c r="H73" s="54"/>
      <c r="I73" s="54">
        <f>26800370-I57</f>
        <v>25396665</v>
      </c>
      <c r="J73" s="165"/>
      <c r="K73" s="149"/>
    </row>
    <row r="74" spans="1:11" ht="24" customHeight="1">
      <c r="A74" s="156"/>
      <c r="B74" s="161"/>
      <c r="C74" s="156"/>
      <c r="D74" s="52">
        <v>2016</v>
      </c>
      <c r="E74" s="53">
        <f>SUM(F74:I74)</f>
        <v>25727295</v>
      </c>
      <c r="F74" s="54"/>
      <c r="G74" s="54"/>
      <c r="H74" s="54"/>
      <c r="I74" s="54">
        <f>27131000-I58</f>
        <v>25727295</v>
      </c>
      <c r="J74" s="165"/>
      <c r="K74" s="149"/>
    </row>
    <row r="75" spans="1:11" ht="24" customHeight="1">
      <c r="A75" s="154" t="s">
        <v>148</v>
      </c>
      <c r="B75" s="159" t="s">
        <v>445</v>
      </c>
      <c r="C75" s="154" t="s">
        <v>43</v>
      </c>
      <c r="D75" s="52" t="s">
        <v>395</v>
      </c>
      <c r="E75" s="53">
        <f>SUM(E76:E78)</f>
        <v>23088407</v>
      </c>
      <c r="F75" s="53">
        <f>SUM(F76:F78)</f>
        <v>23088407</v>
      </c>
      <c r="G75" s="53">
        <f>SUM(G76:G78)</f>
        <v>0</v>
      </c>
      <c r="H75" s="53">
        <f>SUM(H76:H78)</f>
        <v>0</v>
      </c>
      <c r="I75" s="53">
        <f>SUM(I76:I78)</f>
        <v>0</v>
      </c>
      <c r="J75" s="184" t="s">
        <v>163</v>
      </c>
      <c r="K75" s="149" t="s">
        <v>32</v>
      </c>
    </row>
    <row r="76" spans="1:12" ht="24" customHeight="1">
      <c r="A76" s="155"/>
      <c r="B76" s="160"/>
      <c r="C76" s="155"/>
      <c r="D76" s="52">
        <v>2014</v>
      </c>
      <c r="E76" s="53">
        <f>SUM(F76:I76)</f>
        <v>7451599</v>
      </c>
      <c r="F76" s="54">
        <v>7451599</v>
      </c>
      <c r="G76" s="54"/>
      <c r="H76" s="54"/>
      <c r="I76" s="54"/>
      <c r="J76" s="155"/>
      <c r="K76" s="149"/>
      <c r="L76" s="66"/>
    </row>
    <row r="77" spans="1:12" ht="24" customHeight="1">
      <c r="A77" s="155"/>
      <c r="B77" s="160"/>
      <c r="C77" s="155"/>
      <c r="D77" s="52">
        <v>2015</v>
      </c>
      <c r="E77" s="53">
        <f>SUM(F77:I77)</f>
        <v>7692542</v>
      </c>
      <c r="F77" s="54">
        <v>7692542</v>
      </c>
      <c r="G77" s="54"/>
      <c r="H77" s="54"/>
      <c r="I77" s="54"/>
      <c r="J77" s="155"/>
      <c r="K77" s="149"/>
      <c r="L77" s="66"/>
    </row>
    <row r="78" spans="1:12" ht="24" customHeight="1">
      <c r="A78" s="156"/>
      <c r="B78" s="161"/>
      <c r="C78" s="156"/>
      <c r="D78" s="52">
        <v>2016</v>
      </c>
      <c r="E78" s="53">
        <f>SUM(F78:I78)</f>
        <v>7944266</v>
      </c>
      <c r="F78" s="54">
        <v>7944266</v>
      </c>
      <c r="G78" s="54"/>
      <c r="H78" s="54"/>
      <c r="I78" s="54"/>
      <c r="J78" s="156"/>
      <c r="K78" s="149"/>
      <c r="L78" s="66"/>
    </row>
    <row r="79" spans="1:11" ht="24" customHeight="1">
      <c r="A79" s="154" t="s">
        <v>150</v>
      </c>
      <c r="B79" s="159" t="s">
        <v>30</v>
      </c>
      <c r="C79" s="154" t="s">
        <v>43</v>
      </c>
      <c r="D79" s="52" t="s">
        <v>395</v>
      </c>
      <c r="E79" s="53">
        <f>SUM(E80:E82)</f>
        <v>1692632</v>
      </c>
      <c r="F79" s="53">
        <f>SUM(F80:F82)</f>
        <v>1692632</v>
      </c>
      <c r="G79" s="53">
        <f>SUM(G80:G82)</f>
        <v>0</v>
      </c>
      <c r="H79" s="53">
        <f>SUM(H80:H82)</f>
        <v>0</v>
      </c>
      <c r="I79" s="53">
        <f>SUM(I80:I82)</f>
        <v>0</v>
      </c>
      <c r="J79" s="150" t="s">
        <v>447</v>
      </c>
      <c r="K79" s="149" t="s">
        <v>32</v>
      </c>
    </row>
    <row r="80" spans="1:11" ht="24" customHeight="1">
      <c r="A80" s="155"/>
      <c r="B80" s="160"/>
      <c r="C80" s="155"/>
      <c r="D80" s="52">
        <v>2014</v>
      </c>
      <c r="E80" s="53">
        <f>SUM(F80:I80)</f>
        <v>575647</v>
      </c>
      <c r="F80" s="54">
        <v>575647</v>
      </c>
      <c r="G80" s="54"/>
      <c r="H80" s="54"/>
      <c r="I80" s="54"/>
      <c r="J80" s="182"/>
      <c r="K80" s="149"/>
    </row>
    <row r="81" spans="1:11" ht="24" customHeight="1">
      <c r="A81" s="155"/>
      <c r="B81" s="160"/>
      <c r="C81" s="155"/>
      <c r="D81" s="52">
        <v>2015</v>
      </c>
      <c r="E81" s="53">
        <f>SUM(F81:I81)</f>
        <v>564134</v>
      </c>
      <c r="F81" s="54">
        <v>564134</v>
      </c>
      <c r="G81" s="54"/>
      <c r="H81" s="54"/>
      <c r="I81" s="54"/>
      <c r="J81" s="182"/>
      <c r="K81" s="149"/>
    </row>
    <row r="82" spans="1:11" ht="24" customHeight="1">
      <c r="A82" s="156"/>
      <c r="B82" s="161"/>
      <c r="C82" s="156"/>
      <c r="D82" s="52">
        <v>2016</v>
      </c>
      <c r="E82" s="53">
        <f>SUM(F82:I82)</f>
        <v>552851</v>
      </c>
      <c r="F82" s="54">
        <v>552851</v>
      </c>
      <c r="G82" s="54"/>
      <c r="H82" s="54"/>
      <c r="I82" s="54"/>
      <c r="J82" s="183"/>
      <c r="K82" s="149"/>
    </row>
    <row r="83" spans="1:11" ht="30.75" customHeight="1">
      <c r="A83" s="154" t="s">
        <v>288</v>
      </c>
      <c r="B83" s="159" t="s">
        <v>31</v>
      </c>
      <c r="C83" s="154" t="s">
        <v>43</v>
      </c>
      <c r="D83" s="52" t="s">
        <v>395</v>
      </c>
      <c r="E83" s="53">
        <f>SUM(E84:E86)</f>
        <v>26250000</v>
      </c>
      <c r="F83" s="53">
        <f>SUM(F84:F86)</f>
        <v>0</v>
      </c>
      <c r="G83" s="53">
        <f>SUM(G84:G86)</f>
        <v>0</v>
      </c>
      <c r="H83" s="53">
        <f>SUM(H84:H86)</f>
        <v>0</v>
      </c>
      <c r="I83" s="53">
        <f>SUM(I84:I86)</f>
        <v>26250000</v>
      </c>
      <c r="J83" s="149" t="s">
        <v>121</v>
      </c>
      <c r="K83" s="149" t="s">
        <v>32</v>
      </c>
    </row>
    <row r="84" spans="1:11" ht="30.75" customHeight="1">
      <c r="A84" s="155"/>
      <c r="B84" s="160"/>
      <c r="C84" s="155"/>
      <c r="D84" s="52">
        <v>2014</v>
      </c>
      <c r="E84" s="53">
        <f>SUM(F84:I84)</f>
        <v>8750000</v>
      </c>
      <c r="F84" s="54"/>
      <c r="G84" s="54"/>
      <c r="H84" s="54"/>
      <c r="I84" s="54">
        <v>8750000</v>
      </c>
      <c r="J84" s="165"/>
      <c r="K84" s="149"/>
    </row>
    <row r="85" spans="1:11" ht="30.75" customHeight="1">
      <c r="A85" s="155"/>
      <c r="B85" s="160"/>
      <c r="C85" s="155"/>
      <c r="D85" s="52">
        <v>2015</v>
      </c>
      <c r="E85" s="53">
        <f>SUM(F85:I85)</f>
        <v>8750000</v>
      </c>
      <c r="F85" s="54"/>
      <c r="G85" s="54"/>
      <c r="H85" s="54"/>
      <c r="I85" s="54">
        <v>8750000</v>
      </c>
      <c r="J85" s="165"/>
      <c r="K85" s="149"/>
    </row>
    <row r="86" spans="1:11" ht="30.75" customHeight="1">
      <c r="A86" s="156"/>
      <c r="B86" s="161"/>
      <c r="C86" s="156"/>
      <c r="D86" s="52">
        <v>2016</v>
      </c>
      <c r="E86" s="53">
        <f>SUM(F86:I86)</f>
        <v>8750000</v>
      </c>
      <c r="F86" s="54"/>
      <c r="G86" s="54"/>
      <c r="H86" s="54"/>
      <c r="I86" s="54">
        <v>8750000</v>
      </c>
      <c r="J86" s="165"/>
      <c r="K86" s="149"/>
    </row>
  </sheetData>
  <sheetProtection/>
  <mergeCells count="102">
    <mergeCell ref="J63:J66"/>
    <mergeCell ref="K63:K66"/>
    <mergeCell ref="J35:J38"/>
    <mergeCell ref="K35:K38"/>
    <mergeCell ref="J39:J42"/>
    <mergeCell ref="K39:K42"/>
    <mergeCell ref="J47:J50"/>
    <mergeCell ref="K47:K50"/>
    <mergeCell ref="K59:K62"/>
    <mergeCell ref="K55:K58"/>
    <mergeCell ref="B63:B66"/>
    <mergeCell ref="C63:C66"/>
    <mergeCell ref="A43:A46"/>
    <mergeCell ref="C47:C50"/>
    <mergeCell ref="A47:A50"/>
    <mergeCell ref="B49:B50"/>
    <mergeCell ref="A51:A54"/>
    <mergeCell ref="A55:A58"/>
    <mergeCell ref="B55:B58"/>
    <mergeCell ref="J55:J58"/>
    <mergeCell ref="K71:K74"/>
    <mergeCell ref="A31:A34"/>
    <mergeCell ref="B31:B34"/>
    <mergeCell ref="C31:C34"/>
    <mergeCell ref="J31:J34"/>
    <mergeCell ref="K31:K34"/>
    <mergeCell ref="B43:B46"/>
    <mergeCell ref="C43:C46"/>
    <mergeCell ref="A63:A66"/>
    <mergeCell ref="J43:J46"/>
    <mergeCell ref="K43:K46"/>
    <mergeCell ref="A71:A74"/>
    <mergeCell ref="B71:B74"/>
    <mergeCell ref="C71:C74"/>
    <mergeCell ref="J71:J74"/>
    <mergeCell ref="B51:B54"/>
    <mergeCell ref="K67:K70"/>
    <mergeCell ref="J67:J70"/>
    <mergeCell ref="J59:J62"/>
    <mergeCell ref="B35:B38"/>
    <mergeCell ref="A35:A38"/>
    <mergeCell ref="C35:C38"/>
    <mergeCell ref="A23:A26"/>
    <mergeCell ref="B23:B26"/>
    <mergeCell ref="C23:C26"/>
    <mergeCell ref="C27:C30"/>
    <mergeCell ref="A39:A42"/>
    <mergeCell ref="C39:C42"/>
    <mergeCell ref="A67:A70"/>
    <mergeCell ref="B67:B70"/>
    <mergeCell ref="C67:C70"/>
    <mergeCell ref="A59:A62"/>
    <mergeCell ref="B59:B62"/>
    <mergeCell ref="C59:C62"/>
    <mergeCell ref="C51:C54"/>
    <mergeCell ref="C55:C58"/>
    <mergeCell ref="J51:J54"/>
    <mergeCell ref="K51:K54"/>
    <mergeCell ref="B39:B42"/>
    <mergeCell ref="A15:A18"/>
    <mergeCell ref="B15:B18"/>
    <mergeCell ref="C15:C18"/>
    <mergeCell ref="J15:J18"/>
    <mergeCell ref="K15:K18"/>
    <mergeCell ref="A27:A30"/>
    <mergeCell ref="B27:B30"/>
    <mergeCell ref="J27:J30"/>
    <mergeCell ref="K19:K22"/>
    <mergeCell ref="A19:A22"/>
    <mergeCell ref="B19:B22"/>
    <mergeCell ref="C19:C22"/>
    <mergeCell ref="J19:J22"/>
    <mergeCell ref="J23:J26"/>
    <mergeCell ref="K23:K26"/>
    <mergeCell ref="K27:K30"/>
    <mergeCell ref="J9:J10"/>
    <mergeCell ref="K9:K10"/>
    <mergeCell ref="A11:A14"/>
    <mergeCell ref="B11:B14"/>
    <mergeCell ref="C11:C14"/>
    <mergeCell ref="J11:J14"/>
    <mergeCell ref="K11:K14"/>
    <mergeCell ref="K79:K82"/>
    <mergeCell ref="A75:A78"/>
    <mergeCell ref="B75:B78"/>
    <mergeCell ref="C75:C78"/>
    <mergeCell ref="J75:J78"/>
    <mergeCell ref="A3:J3"/>
    <mergeCell ref="A9:A10"/>
    <mergeCell ref="B9:B10"/>
    <mergeCell ref="C9:C10"/>
    <mergeCell ref="D9:I9"/>
    <mergeCell ref="K83:K86"/>
    <mergeCell ref="A83:A86"/>
    <mergeCell ref="B83:B86"/>
    <mergeCell ref="C83:C86"/>
    <mergeCell ref="J83:J86"/>
    <mergeCell ref="K75:K78"/>
    <mergeCell ref="A79:A82"/>
    <mergeCell ref="B79:B82"/>
    <mergeCell ref="C79:C82"/>
    <mergeCell ref="J79:J82"/>
  </mergeCells>
  <printOptions/>
  <pageMargins left="0.7" right="0.7" top="0.75" bottom="0.75" header="0.3" footer="0.3"/>
  <pageSetup fitToHeight="0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Мухина Наталия Егоровна</cp:lastModifiedBy>
  <cp:lastPrinted>2014-07-07T05:26:34Z</cp:lastPrinted>
  <dcterms:created xsi:type="dcterms:W3CDTF">2013-06-06T11:09:14Z</dcterms:created>
  <dcterms:modified xsi:type="dcterms:W3CDTF">2014-07-15T12:55:25Z</dcterms:modified>
  <cp:category/>
  <cp:version/>
  <cp:contentType/>
  <cp:contentStatus/>
</cp:coreProperties>
</file>